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alexiobarbara/Desktop/SOUTH COAST/APODS/*LIONS APODS/"/>
    </mc:Choice>
  </mc:AlternateContent>
  <xr:revisionPtr revIDLastSave="0" documentId="13_ncr:1_{3DDF3864-CC58-9D44-9786-BCD02FF476EE}" xr6:coauthVersionLast="36" xr6:coauthVersionMax="36" xr10:uidLastSave="{00000000-0000-0000-0000-000000000000}"/>
  <bookViews>
    <workbookView xWindow="0" yWindow="460" windowWidth="33600" windowHeight="20540" xr2:uid="{00000000-000D-0000-FFFF-FFFF00000000}"/>
  </bookViews>
  <sheets>
    <sheet name="Cash Flow Analysis" sheetId="1" r:id="rId1"/>
    <sheet name="Value Matrix" sheetId="2" r:id="rId2"/>
    <sheet name="Net Proceeds" sheetId="4" r:id="rId3"/>
    <sheet name="Equity Matrix" sheetId="3" r:id="rId4"/>
  </sheets>
  <definedNames>
    <definedName name="_xlnm.Print_Area" localSheetId="0">'Cash Flow Analysis'!$B$1:$K$62</definedName>
    <definedName name="_xlnm.Print_Area" localSheetId="3">'Equity Matrix'!$A$1:$N$46</definedName>
    <definedName name="_xlnm.Print_Area" localSheetId="2">'Net Proceeds'!$A$1:$H$42</definedName>
    <definedName name="_xlnm.Print_Area" localSheetId="1">'Value Matrix'!$A$1:$N$33</definedName>
  </definedNames>
  <calcPr calcId="181029"/>
</workbook>
</file>

<file path=xl/calcChain.xml><?xml version="1.0" encoding="utf-8"?>
<calcChain xmlns="http://schemas.openxmlformats.org/spreadsheetml/2006/main">
  <c r="E21" i="1" l="1"/>
  <c r="I9" i="1"/>
  <c r="D14" i="1" l="1"/>
  <c r="E22" i="1" l="1"/>
  <c r="K23" i="1"/>
  <c r="H23" i="1"/>
  <c r="K24" i="1"/>
  <c r="B13" i="1"/>
  <c r="H24" i="1"/>
  <c r="E31" i="1"/>
  <c r="E30" i="1"/>
  <c r="E33" i="1" s="1"/>
  <c r="F36" i="1" s="1"/>
  <c r="E29" i="1"/>
  <c r="E28" i="1"/>
  <c r="E20" i="1"/>
  <c r="E19" i="1"/>
  <c r="E24" i="1" s="1"/>
  <c r="E36" i="1" s="1"/>
  <c r="H21" i="1"/>
  <c r="H20" i="1"/>
  <c r="K37" i="1"/>
  <c r="K40" i="1"/>
  <c r="F42" i="1" s="1"/>
  <c r="E9" i="2"/>
  <c r="F37" i="1" l="1"/>
  <c r="L9" i="2" s="1"/>
  <c r="L8" i="2"/>
  <c r="E9" i="1"/>
  <c r="D9" i="1"/>
  <c r="H8" i="2"/>
  <c r="E37" i="1"/>
  <c r="E38" i="1" s="1"/>
  <c r="F46" i="1"/>
  <c r="E46" i="1"/>
  <c r="E42" i="1"/>
  <c r="H19" i="2" l="1"/>
  <c r="H21" i="2"/>
  <c r="H18" i="2"/>
  <c r="H9" i="2"/>
  <c r="H20" i="2"/>
  <c r="K17" i="1"/>
  <c r="K26" i="1" s="1"/>
  <c r="K30" i="1" s="1"/>
  <c r="H10" i="2"/>
  <c r="L18" i="2"/>
  <c r="L21" i="2"/>
  <c r="L20" i="2"/>
  <c r="L19" i="2"/>
  <c r="H24" i="2" s="1"/>
  <c r="F38" i="1"/>
  <c r="D17" i="4" l="1"/>
  <c r="C8" i="3"/>
  <c r="D5" i="4"/>
  <c r="C6" i="3"/>
  <c r="D23" i="4"/>
  <c r="C9" i="3"/>
  <c r="K28" i="1"/>
  <c r="F39" i="1"/>
  <c r="L11" i="2" s="1"/>
  <c r="E39" i="1"/>
  <c r="K29" i="1"/>
  <c r="D39" i="1" s="1"/>
  <c r="L10" i="2"/>
  <c r="D11" i="4"/>
  <c r="C7" i="3"/>
  <c r="H25" i="2"/>
  <c r="H27" i="2" s="1"/>
  <c r="D24" i="4" l="1"/>
  <c r="D25" i="4"/>
  <c r="D12" i="4"/>
  <c r="D13" i="4"/>
  <c r="F40" i="1"/>
  <c r="D7" i="4"/>
  <c r="D6" i="4"/>
  <c r="H11" i="2"/>
  <c r="E40" i="1"/>
  <c r="D19" i="4"/>
  <c r="D18" i="4"/>
  <c r="D15" i="4" l="1"/>
  <c r="D7" i="3" s="1"/>
  <c r="D21" i="4"/>
  <c r="D8" i="3" s="1"/>
  <c r="K8" i="3" s="1"/>
  <c r="D9" i="4"/>
  <c r="D6" i="3" s="1"/>
  <c r="G6" i="3" s="1"/>
  <c r="D27" i="4"/>
  <c r="D9" i="3" s="1"/>
  <c r="K9" i="3" s="1"/>
  <c r="I7" i="3"/>
  <c r="J7" i="3"/>
  <c r="H7" i="3"/>
  <c r="K7" i="3"/>
  <c r="G7" i="3"/>
  <c r="I8" i="3"/>
  <c r="J8" i="3"/>
  <c r="G8" i="3"/>
  <c r="I6" i="3"/>
  <c r="K6" i="3"/>
  <c r="G9" i="1"/>
  <c r="L12" i="2"/>
  <c r="I44" i="1"/>
  <c r="F44" i="1"/>
  <c r="H12" i="2"/>
  <c r="I43" i="1"/>
  <c r="E44" i="1"/>
  <c r="F9" i="1"/>
  <c r="H8" i="3" l="1"/>
  <c r="H6" i="3"/>
  <c r="I9" i="3"/>
  <c r="J6" i="3"/>
  <c r="H9" i="3"/>
  <c r="G9" i="3"/>
  <c r="J9" i="3"/>
  <c r="F47" i="1"/>
  <c r="F45" i="1"/>
  <c r="E47" i="1"/>
  <c r="E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Courtney</author>
  </authors>
  <commentList>
    <comment ref="H17" authorId="0" shapeId="0" xr:uid="{00000000-0006-0000-0000-000001000000}">
      <text>
        <r>
          <rPr>
            <sz val="8"/>
            <color indexed="8"/>
            <rFont val="Tahoma"/>
            <family val="2"/>
          </rPr>
          <t xml:space="preserve">
</t>
        </r>
        <r>
          <rPr>
            <sz val="8"/>
            <color indexed="8"/>
            <rFont val="Tahoma"/>
            <family val="2"/>
          </rPr>
          <t>Estimated at $50 per month.  Properties with 20+ units may be more.</t>
        </r>
      </text>
    </comment>
    <comment ref="K17" authorId="0" shapeId="0" xr:uid="{00000000-0006-0000-0000-000002000000}">
      <text>
        <r>
          <rPr>
            <sz val="8"/>
            <color indexed="81"/>
            <rFont val="Tahoma"/>
            <family val="2"/>
          </rPr>
          <t xml:space="preserve">
5% of Actual Gross Scheduled Income.</t>
        </r>
      </text>
    </comment>
    <comment ref="H19" authorId="0" shapeId="0" xr:uid="{00000000-0006-0000-0000-000003000000}">
      <text>
        <r>
          <rPr>
            <b/>
            <sz val="8"/>
            <color rgb="FF000000"/>
            <rFont val="Tahoma"/>
            <family val="2"/>
          </rPr>
          <t>Keith Courtney:</t>
        </r>
        <r>
          <rPr>
            <sz val="8"/>
            <color rgb="FF000000"/>
            <rFont val="Tahoma"/>
            <family val="2"/>
          </rPr>
          <t xml:space="preserve">
</t>
        </r>
        <r>
          <rPr>
            <sz val="8"/>
            <color rgb="FF000000"/>
            <rFont val="Tahoma"/>
            <family val="2"/>
          </rPr>
          <t xml:space="preserve">$30 per unit per month
</t>
        </r>
      </text>
    </comment>
    <comment ref="H20" authorId="0" shapeId="0" xr:uid="{00000000-0006-0000-0000-000004000000}">
      <text>
        <r>
          <rPr>
            <sz val="8"/>
            <color rgb="FF000000"/>
            <rFont val="Tahoma"/>
            <family val="2"/>
          </rPr>
          <t xml:space="preserve">
</t>
        </r>
        <r>
          <rPr>
            <sz val="8"/>
            <color rgb="FF000000"/>
            <rFont val="Tahoma"/>
            <family val="2"/>
          </rPr>
          <t>$45 per unit per month</t>
        </r>
      </text>
    </comment>
    <comment ref="K20" authorId="0" shapeId="0" xr:uid="{00000000-0006-0000-0000-000005000000}">
      <text>
        <r>
          <rPr>
            <sz val="8"/>
            <color rgb="FF000000"/>
            <rFont val="Tahoma"/>
            <family val="2"/>
          </rPr>
          <t xml:space="preserve">
</t>
        </r>
        <r>
          <rPr>
            <sz val="8"/>
            <color rgb="FF000000"/>
            <rFont val="Tahoma"/>
            <family val="2"/>
          </rPr>
          <t xml:space="preserve">$100 per unit per year
</t>
        </r>
      </text>
    </comment>
    <comment ref="H21" authorId="0" shapeId="0" xr:uid="{00000000-0006-0000-0000-000006000000}">
      <text>
        <r>
          <rPr>
            <sz val="8"/>
            <color rgb="FF000000"/>
            <rFont val="Tahoma"/>
            <family val="2"/>
          </rPr>
          <t xml:space="preserve">
</t>
        </r>
        <r>
          <rPr>
            <sz val="8"/>
            <color rgb="FF000000"/>
            <rFont val="Tahoma"/>
            <family val="2"/>
          </rPr>
          <t>$10 per unit per month.</t>
        </r>
      </text>
    </comment>
    <comment ref="K21" authorId="0" shapeId="0" xr:uid="{00000000-0006-0000-0000-000007000000}">
      <text>
        <r>
          <rPr>
            <sz val="8"/>
            <color rgb="FF000000"/>
            <rFont val="Tahoma"/>
            <family val="2"/>
          </rPr>
          <t xml:space="preserve">
</t>
        </r>
        <r>
          <rPr>
            <sz val="8"/>
            <color rgb="FF000000"/>
            <rFont val="Tahoma"/>
            <family val="2"/>
          </rPr>
          <t>$175 per unit per year</t>
        </r>
      </text>
    </comment>
    <comment ref="H22" authorId="0" shapeId="0" xr:uid="{00000000-0006-0000-0000-000008000000}">
      <text>
        <r>
          <rPr>
            <sz val="8"/>
            <color rgb="FF000000"/>
            <rFont val="Tahoma"/>
            <family val="2"/>
          </rPr>
          <t xml:space="preserve">
</t>
        </r>
        <r>
          <rPr>
            <sz val="8"/>
            <color rgb="FF000000"/>
            <rFont val="Tahoma"/>
            <family val="2"/>
          </rPr>
          <t>$10 per unit per month.</t>
        </r>
      </text>
    </comment>
    <comment ref="H23" authorId="0" shapeId="0" xr:uid="{00000000-0006-0000-0000-000009000000}">
      <text>
        <r>
          <rPr>
            <sz val="8"/>
            <color rgb="FF000000"/>
            <rFont val="Tahoma"/>
            <family val="2"/>
          </rPr>
          <t xml:space="preserve">
</t>
        </r>
        <r>
          <rPr>
            <sz val="8"/>
            <color rgb="FF000000"/>
            <rFont val="Tahoma"/>
            <family val="2"/>
          </rPr>
          <t>$4 per unit per month.</t>
        </r>
      </text>
    </comment>
    <comment ref="K23" authorId="0" shapeId="0" xr:uid="{00000000-0006-0000-0000-00000A000000}">
      <text>
        <r>
          <rPr>
            <sz val="8"/>
            <color rgb="FF000000"/>
            <rFont val="Tahoma"/>
            <family val="2"/>
          </rPr>
          <t xml:space="preserve">
</t>
        </r>
        <r>
          <rPr>
            <sz val="8"/>
            <color rgb="FF000000"/>
            <rFont val="Tahoma"/>
            <family val="2"/>
          </rPr>
          <t>$250 per unit per year.</t>
        </r>
      </text>
    </comment>
    <comment ref="H24" authorId="0" shapeId="0" xr:uid="{00000000-0006-0000-0000-00000B000000}">
      <text>
        <r>
          <rPr>
            <sz val="8"/>
            <color rgb="FF000000"/>
            <rFont val="Tahoma"/>
            <family val="2"/>
          </rPr>
          <t xml:space="preserve">
</t>
        </r>
        <r>
          <rPr>
            <sz val="8"/>
            <color rgb="FF000000"/>
            <rFont val="Tahoma"/>
            <family val="2"/>
          </rPr>
          <t xml:space="preserve">$500 per unit per year
</t>
        </r>
      </text>
    </comment>
    <comment ref="K24" authorId="0" shapeId="0" xr:uid="{00000000-0006-0000-0000-00000C000000}">
      <text>
        <r>
          <rPr>
            <sz val="8"/>
            <color rgb="FF000000"/>
            <rFont val="Tahoma"/>
            <family val="2"/>
          </rPr>
          <t xml:space="preserve">
</t>
        </r>
        <r>
          <rPr>
            <sz val="8"/>
            <color rgb="FF000000"/>
            <rFont val="Tahoma"/>
            <family val="2"/>
          </rPr>
          <t>1.13 % of the sales price</t>
        </r>
      </text>
    </comment>
  </commentList>
</comments>
</file>

<file path=xl/sharedStrings.xml><?xml version="1.0" encoding="utf-8"?>
<sst xmlns="http://schemas.openxmlformats.org/spreadsheetml/2006/main" count="161" uniqueCount="106">
  <si>
    <t>APARTMENT INVESTMENT INFORMATION</t>
  </si>
  <si>
    <t># Units</t>
  </si>
  <si>
    <t>Address</t>
  </si>
  <si>
    <t>City</t>
  </si>
  <si>
    <t>Zip</t>
  </si>
  <si>
    <t>Map Code</t>
  </si>
  <si>
    <t>Price</t>
  </si>
  <si>
    <t>GRM</t>
  </si>
  <si>
    <t>CAP Rate</t>
  </si>
  <si>
    <t>$/Unit</t>
  </si>
  <si>
    <t>$/Square Foot</t>
  </si>
  <si>
    <t>(Approx.)</t>
  </si>
  <si>
    <t>Gross Sq. Ft.</t>
  </si>
  <si>
    <t>Parcel Size</t>
  </si>
  <si>
    <t>Yr. Built</t>
  </si>
  <si>
    <t>Current</t>
  </si>
  <si>
    <t>Market</t>
  </si>
  <si>
    <t>Income Detail</t>
  </si>
  <si>
    <t>Type</t>
  </si>
  <si>
    <t>Rent</t>
  </si>
  <si>
    <t>Total</t>
  </si>
  <si>
    <t>Landscaping</t>
  </si>
  <si>
    <t>Pest Control</t>
  </si>
  <si>
    <t>Estimated Annual Operating Expenses</t>
  </si>
  <si>
    <t>Total Monthly Income</t>
  </si>
  <si>
    <t>Expenses Per:</t>
  </si>
  <si>
    <t>Unit</t>
  </si>
  <si>
    <t>Estimated Annual Operating Proforma</t>
  </si>
  <si>
    <t>Financing Summary</t>
  </si>
  <si>
    <t>Gross Scheduled Income</t>
  </si>
  <si>
    <t>Gross Operating Income</t>
  </si>
  <si>
    <t>Less: Expenses</t>
  </si>
  <si>
    <t>Net Operating Income</t>
  </si>
  <si>
    <t>Less:  1st TD Payments</t>
  </si>
  <si>
    <t>Pre-Tax Cash Flow</t>
  </si>
  <si>
    <t xml:space="preserve">Cash On Cash Return </t>
  </si>
  <si>
    <t>Downpayment:</t>
  </si>
  <si>
    <t>Comments</t>
  </si>
  <si>
    <t xml:space="preserve">warranty or representation about it.  It is your responsibility to independently confirm its accuracy and completeness.  Any projections, opinions, assumptions or estimates are used for </t>
  </si>
  <si>
    <t xml:space="preserve">example only and do not represent the current or future performance of the property.  The value of this transaction to you depends on tax, financial and legal advisors.  You and your </t>
  </si>
  <si>
    <t>Less: Vacancy Factor</t>
  </si>
  <si>
    <t>Interest Rate:</t>
  </si>
  <si>
    <t xml:space="preserve"> </t>
  </si>
  <si>
    <t>Principal Reduction</t>
  </si>
  <si>
    <t>Total Annual Operating Expenses (estimated):</t>
  </si>
  <si>
    <t>Amortized over:</t>
  </si>
  <si>
    <t>Years</t>
  </si>
  <si>
    <t>Proposed Loan Amount:</t>
  </si>
  <si>
    <t>Debt Coverage Ratio:</t>
  </si>
  <si>
    <t>Current:</t>
  </si>
  <si>
    <t>Market:</t>
  </si>
  <si>
    <t>% of Actual GSI</t>
  </si>
  <si>
    <t>Actual</t>
  </si>
  <si>
    <t xml:space="preserve">      Management (Off Site)</t>
  </si>
  <si>
    <t xml:space="preserve">      Licenses &amp; Fees</t>
  </si>
  <si>
    <t xml:space="preserve">      Pool</t>
  </si>
  <si>
    <t xml:space="preserve">      Insurance</t>
  </si>
  <si>
    <t xml:space="preserve">      Taxes</t>
  </si>
  <si>
    <t xml:space="preserve">      Reserves</t>
  </si>
  <si>
    <t>Estimated Market Rents</t>
  </si>
  <si>
    <t>Total Potential Return (End of Year One)</t>
  </si>
  <si>
    <t>Rent Range</t>
  </si>
  <si>
    <t>Estimated Actual Average Rents</t>
  </si>
  <si>
    <t>INCOME ANALYSIS:</t>
  </si>
  <si>
    <t>Income</t>
  </si>
  <si>
    <t>VALUATION ANALYSIS:</t>
  </si>
  <si>
    <t xml:space="preserve">Value Based on </t>
  </si>
  <si>
    <t>Value Based on</t>
  </si>
  <si>
    <t>Current Income</t>
  </si>
  <si>
    <t>Projected Income</t>
  </si>
  <si>
    <t>GRM MATRIX</t>
  </si>
  <si>
    <t>Low Value Range</t>
  </si>
  <si>
    <t>Most Probable Value Range</t>
  </si>
  <si>
    <t>High Value Range</t>
  </si>
  <si>
    <t>Very High Value Range</t>
  </si>
  <si>
    <t>Most Probable Value Based on Market Income:</t>
  </si>
  <si>
    <t>Most Probable Value Based on Current Income:</t>
  </si>
  <si>
    <t>Average of Value Based on Market &amp; Current Income:</t>
  </si>
  <si>
    <t>Note:  The current and market rents are as outlined on the attached Apartment Investment Information Sheet</t>
  </si>
  <si>
    <t xml:space="preserve">Sale Price </t>
  </si>
  <si>
    <t>Closing Costs</t>
  </si>
  <si>
    <t xml:space="preserve">Commission </t>
  </si>
  <si>
    <t>Mortgage</t>
  </si>
  <si>
    <t xml:space="preserve">Proceeds </t>
  </si>
  <si>
    <t xml:space="preserve">EQUITY </t>
  </si>
  <si>
    <t>SALES PRICE</t>
  </si>
  <si>
    <t>CASH ON CASH RETURN @</t>
  </si>
  <si>
    <t xml:space="preserve">The information contained herein has been obtained from sources believed reliable.  While South Coast Commercial does not doubt its accuracy, we have not verified it and make no guarantee,  </t>
  </si>
  <si>
    <t>INCOME AND VALUATION ANALYSIS FOR: 3827-43 Wilson Ave 92104</t>
  </si>
  <si>
    <t xml:space="preserve">      Miscellaneous</t>
  </si>
  <si>
    <t>advisors should conduct a careful, independent investigation of the property to determine to your satisfaction the suitability of the property for your needs. BRE # 01846358</t>
  </si>
  <si>
    <t>PLEASE DO NOT WALK ON THE PROPERTY OR DISTURB TENANTS</t>
  </si>
  <si>
    <t>Water &amp; Sewer</t>
  </si>
  <si>
    <t>SDGE</t>
  </si>
  <si>
    <t>Maintenance</t>
  </si>
  <si>
    <t>Laundry Income</t>
  </si>
  <si>
    <t>Garage</t>
  </si>
  <si>
    <t>2Br/1Ba</t>
  </si>
  <si>
    <t>Adrian Gonzalez BRE #0184461 858.735.9977 Gonzalez@scc1031.com LionCRE.com</t>
  </si>
  <si>
    <t>4826 Santa Cruz Ave</t>
  </si>
  <si>
    <t>San Diego</t>
  </si>
  <si>
    <t>1Br/1Ba</t>
  </si>
  <si>
    <t>Studio</t>
  </si>
  <si>
    <t>Plus 1</t>
  </si>
  <si>
    <t>Non-Conforming</t>
  </si>
  <si>
    <t>% of Market GSI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</si>
</sst>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4" formatCode="_(&quot;$&quot;* #,##0.00_);_(&quot;$&quot;* \(#,##0.00\);_(&quot;$&quot;* &quot;-&quot;??_);_(@_)"/>
    <numFmt numFmtId="164" formatCode="&quot;$&quot;#,##0"/>
    <numFmt numFmtId="165" formatCode="&quot;$&quot;#,##0.00"/>
    <numFmt numFmtId="166" formatCode="0.0%"/>
    <numFmt numFmtId="167" formatCode="0.0"/>
    <numFmt numFmtId="168" formatCode="0.000%"/>
    <numFmt numFmtId="169" formatCode="_(&quot;$&quot;* #,##0_);_(&quot;$&quot;* \(#,##0\);_(&quot;$&quot;* &quot;-&quot;??_);_(@_)"/>
  </numFmts>
  <fonts count="30">
    <font>
      <sz val="10"/>
      <name val="Arial"/>
    </font>
    <font>
      <sz val="10"/>
      <name val="Arial"/>
      <family val="2"/>
    </font>
    <font>
      <b/>
      <sz val="10"/>
      <name val="Times New Roman"/>
      <family val="1"/>
    </font>
    <font>
      <sz val="6"/>
      <name val="Times New Roman"/>
      <family val="1"/>
    </font>
    <font>
      <sz val="10"/>
      <name val="Times New Roman"/>
      <family val="1"/>
    </font>
    <font>
      <sz val="8"/>
      <name val="Times New Roman"/>
      <family val="1"/>
    </font>
    <font>
      <b/>
      <sz val="9"/>
      <name val="Times New Roman"/>
      <family val="1"/>
    </font>
    <font>
      <sz val="9"/>
      <name val="Times New Roman"/>
      <family val="1"/>
    </font>
    <font>
      <b/>
      <u/>
      <sz val="9"/>
      <name val="Times New Roman"/>
      <family val="1"/>
    </font>
    <font>
      <b/>
      <u/>
      <sz val="10"/>
      <name val="Times New Roman"/>
      <family val="1"/>
    </font>
    <font>
      <b/>
      <sz val="14"/>
      <name val="Times New Roman"/>
      <family val="1"/>
    </font>
    <font>
      <sz val="11"/>
      <name val="Times New Roman"/>
      <family val="1"/>
    </font>
    <font>
      <sz val="11"/>
      <name val="Arial"/>
      <family val="2"/>
    </font>
    <font>
      <sz val="14"/>
      <name val="Arial"/>
      <family val="2"/>
    </font>
    <font>
      <sz val="10"/>
      <name val="Arial"/>
      <family val="2"/>
    </font>
    <font>
      <b/>
      <sz val="10"/>
      <name val="Arial"/>
      <family val="2"/>
    </font>
    <font>
      <sz val="10"/>
      <name val="Arial"/>
      <family val="2"/>
    </font>
    <font>
      <sz val="10"/>
      <name val="Arial"/>
      <family val="2"/>
    </font>
    <font>
      <sz val="10"/>
      <name val="Arial"/>
      <family val="2"/>
    </font>
    <font>
      <b/>
      <sz val="10"/>
      <color indexed="10"/>
      <name val="Arial"/>
      <family val="2"/>
    </font>
    <font>
      <sz val="10"/>
      <name val="Arial"/>
      <family val="2"/>
    </font>
    <font>
      <sz val="12"/>
      <name val="Arial"/>
      <family val="2"/>
    </font>
    <font>
      <b/>
      <sz val="12"/>
      <name val="Arial"/>
      <family val="2"/>
    </font>
    <font>
      <b/>
      <u val="singleAccounting"/>
      <sz val="12"/>
      <name val="Arial"/>
      <family val="2"/>
    </font>
    <font>
      <b/>
      <u/>
      <sz val="12"/>
      <name val="Arial"/>
      <family val="2"/>
    </font>
    <font>
      <sz val="10"/>
      <color indexed="52"/>
      <name val="Arial"/>
      <family val="2"/>
    </font>
    <font>
      <sz val="8"/>
      <color indexed="81"/>
      <name val="Tahoma"/>
      <family val="2"/>
    </font>
    <font>
      <sz val="8"/>
      <color indexed="8"/>
      <name val="Tahoma"/>
      <family val="2"/>
    </font>
    <font>
      <sz val="8"/>
      <color rgb="FF000000"/>
      <name val="Tahoma"/>
      <family val="2"/>
    </font>
    <font>
      <b/>
      <sz val="8"/>
      <color rgb="FF000000"/>
      <name val="Tahoma"/>
      <family val="2"/>
    </font>
  </fonts>
  <fills count="7">
    <fill>
      <patternFill patternType="none"/>
    </fill>
    <fill>
      <patternFill patternType="gray125"/>
    </fill>
    <fill>
      <patternFill patternType="gray0625"/>
    </fill>
    <fill>
      <patternFill patternType="solid">
        <fgColor indexed="49"/>
        <bgColor indexed="64"/>
      </patternFill>
    </fill>
    <fill>
      <patternFill patternType="solid">
        <fgColor indexed="52"/>
        <bgColor indexed="64"/>
      </patternFill>
    </fill>
    <fill>
      <patternFill patternType="gray0625">
        <bgColor indexed="9"/>
      </patternFill>
    </fill>
    <fill>
      <patternFill patternType="solid">
        <fgColor rgb="FFFFFF00"/>
        <bgColor indexed="64"/>
      </patternFill>
    </fill>
  </fills>
  <borders count="1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5">
    <xf numFmtId="0" fontId="0" fillId="0" borderId="0" xfId="0"/>
    <xf numFmtId="0" fontId="0" fillId="0" borderId="0" xfId="0" applyBorder="1"/>
    <xf numFmtId="0" fontId="4" fillId="0" borderId="1" xfId="0" applyFont="1" applyBorder="1"/>
    <xf numFmtId="0" fontId="4" fillId="0" borderId="0" xfId="0" applyFont="1" applyBorder="1"/>
    <xf numFmtId="0" fontId="4" fillId="0" borderId="0" xfId="0" applyFont="1"/>
    <xf numFmtId="0" fontId="4" fillId="0" borderId="2" xfId="0" applyFont="1" applyBorder="1"/>
    <xf numFmtId="0" fontId="5" fillId="0" borderId="0" xfId="0" applyFont="1" applyBorder="1"/>
    <xf numFmtId="0" fontId="4" fillId="0" borderId="0" xfId="0" applyFont="1" applyAlignment="1">
      <alignment horizontal="center"/>
    </xf>
    <xf numFmtId="1" fontId="4" fillId="0" borderId="1" xfId="0" applyNumberFormat="1" applyFont="1" applyBorder="1" applyAlignment="1">
      <alignment horizontal="center"/>
    </xf>
    <xf numFmtId="165" fontId="4" fillId="0" borderId="1" xfId="0" applyNumberFormat="1" applyFont="1" applyBorder="1" applyAlignment="1">
      <alignment horizontal="center"/>
    </xf>
    <xf numFmtId="164" fontId="6" fillId="0" borderId="2" xfId="0" applyNumberFormat="1" applyFont="1" applyBorder="1" applyAlignment="1">
      <alignment horizontal="center"/>
    </xf>
    <xf numFmtId="164" fontId="6" fillId="0" borderId="2" xfId="0" applyNumberFormat="1" applyFont="1" applyBorder="1"/>
    <xf numFmtId="0" fontId="7" fillId="0" borderId="1" xfId="0" applyFont="1" applyBorder="1"/>
    <xf numFmtId="0" fontId="7" fillId="0" borderId="0" xfId="0" applyFont="1" applyBorder="1"/>
    <xf numFmtId="0" fontId="7" fillId="0" borderId="2" xfId="0" applyFont="1" applyBorder="1"/>
    <xf numFmtId="0" fontId="7" fillId="0" borderId="0" xfId="0" applyFont="1"/>
    <xf numFmtId="0" fontId="8" fillId="0" borderId="0" xfId="0" applyFont="1" applyBorder="1" applyAlignment="1">
      <alignment horizontal="center"/>
    </xf>
    <xf numFmtId="0" fontId="6" fillId="0" borderId="1" xfId="0" applyFont="1" applyBorder="1"/>
    <xf numFmtId="164" fontId="6" fillId="0" borderId="0" xfId="0" applyNumberFormat="1" applyFont="1" applyBorder="1" applyAlignment="1">
      <alignment horizontal="center"/>
    </xf>
    <xf numFmtId="0" fontId="6" fillId="0" borderId="0" xfId="0" applyFont="1"/>
    <xf numFmtId="0" fontId="8" fillId="0" borderId="0" xfId="0" applyFont="1" applyAlignment="1">
      <alignment horizontal="center"/>
    </xf>
    <xf numFmtId="164" fontId="7" fillId="0" borderId="0" xfId="0" applyNumberFormat="1" applyFont="1" applyBorder="1" applyAlignment="1">
      <alignment horizontal="center"/>
    </xf>
    <xf numFmtId="164" fontId="7" fillId="0" borderId="0" xfId="0" applyNumberFormat="1" applyFont="1" applyAlignment="1">
      <alignment horizontal="center"/>
    </xf>
    <xf numFmtId="9" fontId="7" fillId="0" borderId="0" xfId="0" applyNumberFormat="1" applyFont="1" applyBorder="1" applyAlignment="1">
      <alignment horizontal="center"/>
    </xf>
    <xf numFmtId="5" fontId="7" fillId="0" borderId="0" xfId="0" applyNumberFormat="1" applyFont="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7" fillId="2" borderId="6" xfId="0" applyFont="1" applyFill="1" applyBorder="1"/>
    <xf numFmtId="0" fontId="6" fillId="2" borderId="7" xfId="0" applyFont="1" applyFill="1" applyBorder="1" applyAlignment="1">
      <alignment horizontal="center"/>
    </xf>
    <xf numFmtId="0" fontId="6" fillId="2" borderId="8" xfId="0" applyFont="1" applyFill="1" applyBorder="1" applyAlignment="1">
      <alignment horizontal="center"/>
    </xf>
    <xf numFmtId="0" fontId="7" fillId="2" borderId="8" xfId="0" applyFont="1" applyFill="1" applyBorder="1"/>
    <xf numFmtId="0" fontId="7" fillId="2" borderId="9" xfId="0" applyFont="1" applyFill="1" applyBorder="1"/>
    <xf numFmtId="0" fontId="6" fillId="2" borderId="5" xfId="0" applyFont="1" applyFill="1" applyBorder="1" applyAlignment="1">
      <alignment horizontal="left"/>
    </xf>
    <xf numFmtId="0" fontId="6" fillId="2" borderId="5" xfId="0" applyFont="1" applyFill="1" applyBorder="1" applyAlignment="1"/>
    <xf numFmtId="0" fontId="6" fillId="2" borderId="8" xfId="0" applyFont="1" applyFill="1" applyBorder="1"/>
    <xf numFmtId="0" fontId="6" fillId="2" borderId="9" xfId="0" applyFont="1" applyFill="1" applyBorder="1" applyAlignment="1">
      <alignment horizontal="center"/>
    </xf>
    <xf numFmtId="0" fontId="6" fillId="2" borderId="3" xfId="0" applyFont="1" applyFill="1" applyBorder="1"/>
    <xf numFmtId="0" fontId="7" fillId="2" borderId="4" xfId="0" applyFont="1" applyFill="1" applyBorder="1"/>
    <xf numFmtId="0" fontId="6" fillId="2" borderId="4" xfId="0" applyFont="1" applyFill="1" applyBorder="1"/>
    <xf numFmtId="0" fontId="7" fillId="2" borderId="10" xfId="0" applyFont="1" applyFill="1" applyBorder="1"/>
    <xf numFmtId="0" fontId="4" fillId="0" borderId="1" xfId="0" applyFont="1" applyBorder="1" applyAlignment="1">
      <alignment horizontal="center"/>
    </xf>
    <xf numFmtId="6" fontId="4" fillId="0" borderId="0" xfId="0" applyNumberFormat="1" applyFont="1" applyAlignment="1">
      <alignment horizontal="center"/>
    </xf>
    <xf numFmtId="0" fontId="2" fillId="0" borderId="0" xfId="0" applyFont="1"/>
    <xf numFmtId="164" fontId="4" fillId="0" borderId="0" xfId="0" applyNumberFormat="1" applyFont="1" applyBorder="1" applyAlignment="1">
      <alignment horizontal="center"/>
    </xf>
    <xf numFmtId="9" fontId="6" fillId="0" borderId="2" xfId="0" applyNumberFormat="1" applyFont="1" applyBorder="1" applyAlignment="1">
      <alignment horizontal="center"/>
    </xf>
    <xf numFmtId="6" fontId="7" fillId="0" borderId="0" xfId="0" applyNumberFormat="1" applyFont="1" applyAlignment="1">
      <alignment horizontal="center"/>
    </xf>
    <xf numFmtId="167" fontId="7" fillId="0" borderId="0" xfId="0" applyNumberFormat="1" applyFont="1" applyBorder="1" applyAlignment="1">
      <alignment horizontal="center"/>
    </xf>
    <xf numFmtId="2" fontId="4" fillId="0" borderId="0" xfId="0" applyNumberFormat="1" applyFont="1" applyAlignment="1">
      <alignment horizontal="center"/>
    </xf>
    <xf numFmtId="0" fontId="2" fillId="0" borderId="0" xfId="0" applyFont="1" applyAlignment="1">
      <alignment horizontal="center"/>
    </xf>
    <xf numFmtId="0" fontId="2" fillId="0" borderId="2" xfId="0" applyFont="1" applyBorder="1"/>
    <xf numFmtId="0" fontId="5" fillId="0" borderId="11" xfId="0" applyFont="1" applyBorder="1"/>
    <xf numFmtId="0" fontId="5" fillId="0" borderId="1" xfId="0" applyFont="1" applyBorder="1"/>
    <xf numFmtId="0" fontId="7" fillId="0" borderId="7" xfId="0" applyFont="1" applyBorder="1"/>
    <xf numFmtId="0" fontId="7" fillId="0" borderId="2" xfId="0" applyFont="1" applyBorder="1" applyAlignment="1">
      <alignment horizontal="center"/>
    </xf>
    <xf numFmtId="0" fontId="8" fillId="0" borderId="11" xfId="0" applyFont="1" applyBorder="1" applyAlignment="1">
      <alignment horizontal="center"/>
    </xf>
    <xf numFmtId="168" fontId="6" fillId="0" borderId="0" xfId="2" applyNumberFormat="1" applyFont="1" applyAlignment="1">
      <alignment horizontal="center"/>
    </xf>
    <xf numFmtId="6" fontId="0" fillId="0" borderId="0" xfId="0" applyNumberFormat="1"/>
    <xf numFmtId="6" fontId="2" fillId="0" borderId="2" xfId="0" applyNumberFormat="1" applyFont="1" applyBorder="1" applyAlignment="1">
      <alignment horizontal="center"/>
    </xf>
    <xf numFmtId="0" fontId="2" fillId="0" borderId="10" xfId="0" applyFont="1" applyBorder="1" applyAlignment="1">
      <alignment horizontal="center"/>
    </xf>
    <xf numFmtId="0" fontId="4" fillId="0" borderId="6" xfId="0" applyFont="1" applyBorder="1"/>
    <xf numFmtId="3" fontId="4" fillId="0" borderId="0" xfId="0" applyNumberFormat="1" applyFont="1" applyAlignment="1">
      <alignment horizontal="center"/>
    </xf>
    <xf numFmtId="0" fontId="2" fillId="0" borderId="0" xfId="0" applyFont="1" applyBorder="1" applyAlignment="1">
      <alignment horizontal="center"/>
    </xf>
    <xf numFmtId="0" fontId="0" fillId="0" borderId="12" xfId="0" applyBorder="1"/>
    <xf numFmtId="0" fontId="10" fillId="0" borderId="12" xfId="0" applyFont="1" applyBorder="1"/>
    <xf numFmtId="0" fontId="4" fillId="0" borderId="12" xfId="0" applyFont="1" applyBorder="1"/>
    <xf numFmtId="0" fontId="11" fillId="0" borderId="12" xfId="0" applyFont="1" applyBorder="1"/>
    <xf numFmtId="0" fontId="11" fillId="0" borderId="0" xfId="0" applyFont="1"/>
    <xf numFmtId="0" fontId="2" fillId="0" borderId="12" xfId="0" applyFont="1" applyBorder="1"/>
    <xf numFmtId="0" fontId="2" fillId="0" borderId="8" xfId="0" applyFont="1" applyBorder="1" applyAlignment="1">
      <alignment horizontal="center"/>
    </xf>
    <xf numFmtId="6" fontId="4" fillId="0" borderId="0" xfId="0" applyNumberFormat="1" applyFont="1"/>
    <xf numFmtId="6" fontId="4" fillId="0" borderId="0" xfId="0" applyNumberFormat="1" applyFont="1" applyBorder="1"/>
    <xf numFmtId="166" fontId="4" fillId="0" borderId="0" xfId="2" applyNumberFormat="1" applyFont="1"/>
    <xf numFmtId="169" fontId="4" fillId="0" borderId="0" xfId="1" applyNumberFormat="1" applyFont="1" applyAlignment="1">
      <alignment horizontal="left" indent="2"/>
    </xf>
    <xf numFmtId="169" fontId="4" fillId="0" borderId="0" xfId="1" applyNumberFormat="1" applyFont="1" applyAlignment="1">
      <alignment horizontal="left" indent="1"/>
    </xf>
    <xf numFmtId="6" fontId="4" fillId="0" borderId="13" xfId="0" applyNumberFormat="1" applyFont="1" applyBorder="1"/>
    <xf numFmtId="0" fontId="4" fillId="0" borderId="14" xfId="0" applyFont="1" applyBorder="1"/>
    <xf numFmtId="0" fontId="2" fillId="0" borderId="15" xfId="0" applyFont="1" applyBorder="1" applyAlignment="1">
      <alignment horizontal="center"/>
    </xf>
    <xf numFmtId="0" fontId="4" fillId="0" borderId="16" xfId="0" applyFont="1" applyBorder="1"/>
    <xf numFmtId="6" fontId="4" fillId="0" borderId="14" xfId="0" applyNumberFormat="1" applyFont="1" applyBorder="1"/>
    <xf numFmtId="0" fontId="4" fillId="0" borderId="15" xfId="0" applyFont="1" applyBorder="1"/>
    <xf numFmtId="2" fontId="4" fillId="0" borderId="15" xfId="0" applyNumberFormat="1" applyFont="1" applyBorder="1" applyAlignment="1">
      <alignment horizontal="center"/>
    </xf>
    <xf numFmtId="6" fontId="4" fillId="0" borderId="16" xfId="0" applyNumberFormat="1" applyFont="1" applyBorder="1"/>
    <xf numFmtId="2" fontId="4" fillId="0" borderId="0" xfId="0" applyNumberFormat="1" applyFont="1" applyBorder="1" applyAlignment="1">
      <alignment horizontal="center"/>
    </xf>
    <xf numFmtId="0" fontId="11" fillId="0" borderId="0" xfId="0" applyFont="1" applyBorder="1"/>
    <xf numFmtId="169" fontId="2" fillId="0" borderId="0" xfId="1" applyNumberFormat="1" applyFont="1" applyAlignment="1">
      <alignment horizontal="right"/>
    </xf>
    <xf numFmtId="0" fontId="12" fillId="0" borderId="0" xfId="0" applyFont="1"/>
    <xf numFmtId="169" fontId="4" fillId="0" borderId="13" xfId="0" applyNumberFormat="1" applyFont="1" applyBorder="1"/>
    <xf numFmtId="0" fontId="14" fillId="0" borderId="0" xfId="0" applyFont="1"/>
    <xf numFmtId="0" fontId="15" fillId="0" borderId="0" xfId="0" applyFont="1"/>
    <xf numFmtId="0" fontId="16" fillId="0" borderId="0" xfId="0" applyFont="1"/>
    <xf numFmtId="0" fontId="18" fillId="0" borderId="0" xfId="0" applyFont="1"/>
    <xf numFmtId="42" fontId="16" fillId="0" borderId="0" xfId="0" applyNumberFormat="1" applyFont="1"/>
    <xf numFmtId="3" fontId="16" fillId="0" borderId="0" xfId="0" applyNumberFormat="1" applyFont="1"/>
    <xf numFmtId="10" fontId="16" fillId="0" borderId="0" xfId="0" applyNumberFormat="1" applyFont="1"/>
    <xf numFmtId="44" fontId="19" fillId="0" borderId="0" xfId="0" applyNumberFormat="1" applyFont="1"/>
    <xf numFmtId="0" fontId="20" fillId="0" borderId="0" xfId="0" applyFont="1"/>
    <xf numFmtId="0" fontId="17" fillId="0" borderId="0" xfId="0" applyFont="1"/>
    <xf numFmtId="0" fontId="21" fillId="0" borderId="0" xfId="0" applyFont="1"/>
    <xf numFmtId="0" fontId="22" fillId="0" borderId="0" xfId="0" applyFont="1"/>
    <xf numFmtId="2" fontId="17" fillId="0" borderId="0" xfId="0" applyNumberFormat="1" applyFont="1" applyAlignment="1">
      <alignment horizontal="center"/>
    </xf>
    <xf numFmtId="6" fontId="17" fillId="0" borderId="0" xfId="0" applyNumberFormat="1" applyFont="1" applyBorder="1"/>
    <xf numFmtId="3" fontId="21" fillId="0" borderId="0" xfId="0" applyNumberFormat="1" applyFont="1" applyAlignment="1"/>
    <xf numFmtId="37" fontId="21" fillId="0" borderId="0" xfId="0" applyNumberFormat="1" applyFont="1" applyAlignment="1">
      <alignment horizontal="right"/>
    </xf>
    <xf numFmtId="3" fontId="21" fillId="0" borderId="0" xfId="0" applyNumberFormat="1" applyFont="1" applyAlignment="1">
      <alignment horizontal="right"/>
    </xf>
    <xf numFmtId="10" fontId="21" fillId="0" borderId="0" xfId="0" applyNumberFormat="1" applyFont="1"/>
    <xf numFmtId="6" fontId="22" fillId="0" borderId="0" xfId="0" applyNumberFormat="1" applyFont="1" applyAlignment="1">
      <alignment horizontal="right"/>
    </xf>
    <xf numFmtId="42" fontId="23" fillId="0" borderId="0" xfId="0" applyNumberFormat="1" applyFont="1" applyAlignment="1">
      <alignment horizontal="right"/>
    </xf>
    <xf numFmtId="0" fontId="17" fillId="0" borderId="0" xfId="0" applyFont="1" applyAlignment="1">
      <alignment horizontal="center"/>
    </xf>
    <xf numFmtId="0" fontId="21" fillId="0" borderId="0" xfId="0" applyFont="1" applyAlignment="1">
      <alignment horizontal="center"/>
    </xf>
    <xf numFmtId="0" fontId="24" fillId="0" borderId="0" xfId="0" applyFont="1" applyAlignment="1">
      <alignment horizontal="center"/>
    </xf>
    <xf numFmtId="0" fontId="13" fillId="0" borderId="0" xfId="0" applyFont="1" applyBorder="1"/>
    <xf numFmtId="0" fontId="24" fillId="0" borderId="0" xfId="0" applyFont="1" applyBorder="1" applyAlignment="1">
      <alignment horizontal="center"/>
    </xf>
    <xf numFmtId="166" fontId="22" fillId="0" borderId="0" xfId="2" applyNumberFormat="1" applyFont="1" applyAlignment="1">
      <alignment horizontal="center"/>
    </xf>
    <xf numFmtId="6" fontId="11" fillId="0" borderId="0" xfId="0" applyNumberFormat="1" applyFont="1" applyAlignment="1">
      <alignment horizontal="center"/>
    </xf>
    <xf numFmtId="42" fontId="11" fillId="0" borderId="0" xfId="0" applyNumberFormat="1" applyFont="1" applyAlignment="1">
      <alignment horizontal="center"/>
    </xf>
    <xf numFmtId="164" fontId="11" fillId="0" borderId="0" xfId="0" applyNumberFormat="1" applyFont="1" applyAlignment="1">
      <alignment horizontal="center"/>
    </xf>
    <xf numFmtId="6" fontId="11" fillId="3" borderId="0" xfId="0" applyNumberFormat="1" applyFont="1" applyFill="1" applyAlignment="1">
      <alignment horizontal="center"/>
    </xf>
    <xf numFmtId="42" fontId="11" fillId="3" borderId="0" xfId="0" applyNumberFormat="1" applyFont="1" applyFill="1" applyAlignment="1">
      <alignment horizontal="center"/>
    </xf>
    <xf numFmtId="164" fontId="11" fillId="3" borderId="0" xfId="0" applyNumberFormat="1" applyFont="1" applyFill="1" applyAlignment="1">
      <alignment horizontal="center"/>
    </xf>
    <xf numFmtId="0" fontId="17" fillId="4" borderId="0" xfId="0" applyFont="1" applyFill="1"/>
    <xf numFmtId="0" fontId="4" fillId="4" borderId="0" xfId="0" applyFont="1" applyFill="1"/>
    <xf numFmtId="0" fontId="14" fillId="4" borderId="0" xfId="0" applyFont="1" applyFill="1"/>
    <xf numFmtId="0" fontId="0" fillId="4" borderId="0" xfId="0" applyFill="1"/>
    <xf numFmtId="0" fontId="11" fillId="4" borderId="0" xfId="0" applyFont="1" applyFill="1"/>
    <xf numFmtId="0" fontId="25" fillId="4" borderId="0" xfId="0" applyFont="1" applyFill="1" applyBorder="1"/>
    <xf numFmtId="0" fontId="25" fillId="4" borderId="0" xfId="0" applyFont="1" applyFill="1"/>
    <xf numFmtId="0" fontId="3" fillId="4" borderId="0" xfId="0" applyFont="1" applyFill="1" applyBorder="1" applyAlignment="1">
      <alignment horizontal="center"/>
    </xf>
    <xf numFmtId="0" fontId="4" fillId="0" borderId="8" xfId="0" applyFont="1" applyBorder="1"/>
    <xf numFmtId="14" fontId="4" fillId="0" borderId="8" xfId="0" applyNumberFormat="1" applyFont="1" applyBorder="1"/>
    <xf numFmtId="0" fontId="7" fillId="0" borderId="8" xfId="0" applyFont="1" applyBorder="1"/>
    <xf numFmtId="0" fontId="7" fillId="0" borderId="9" xfId="0" applyFont="1" applyBorder="1"/>
    <xf numFmtId="164" fontId="4" fillId="0" borderId="0" xfId="0" applyNumberFormat="1" applyFont="1" applyFill="1" applyAlignment="1">
      <alignment horizontal="right"/>
    </xf>
    <xf numFmtId="0" fontId="5" fillId="0" borderId="0" xfId="0" applyFont="1" applyFill="1"/>
    <xf numFmtId="164" fontId="4" fillId="0" borderId="6" xfId="0" applyNumberFormat="1" applyFont="1" applyFill="1" applyBorder="1" applyAlignment="1">
      <alignment horizontal="right"/>
    </xf>
    <xf numFmtId="164" fontId="4" fillId="0" borderId="2" xfId="0" applyNumberFormat="1" applyFont="1" applyFill="1" applyBorder="1" applyAlignment="1">
      <alignment horizontal="right"/>
    </xf>
    <xf numFmtId="0" fontId="5" fillId="0" borderId="0" xfId="0" applyFont="1" applyFill="1" applyAlignment="1">
      <alignment horizontal="left"/>
    </xf>
    <xf numFmtId="0" fontId="6" fillId="0" borderId="0" xfId="0" applyFont="1" applyBorder="1"/>
    <xf numFmtId="10" fontId="7" fillId="0" borderId="0" xfId="0" applyNumberFormat="1" applyFont="1" applyAlignment="1">
      <alignment horizontal="center"/>
    </xf>
    <xf numFmtId="164" fontId="7" fillId="6" borderId="0" xfId="0" applyNumberFormat="1" applyFont="1" applyFill="1" applyBorder="1" applyAlignment="1">
      <alignment horizontal="center"/>
    </xf>
    <xf numFmtId="166" fontId="7" fillId="6" borderId="0" xfId="0" applyNumberFormat="1" applyFont="1" applyFill="1" applyBorder="1" applyAlignment="1">
      <alignment horizontal="center"/>
    </xf>
    <xf numFmtId="5" fontId="4" fillId="6" borderId="0" xfId="0" applyNumberFormat="1" applyFont="1" applyFill="1" applyAlignment="1">
      <alignment horizontal="center"/>
    </xf>
    <xf numFmtId="9" fontId="7" fillId="6" borderId="0" xfId="0" applyNumberFormat="1" applyFont="1" applyFill="1" applyBorder="1" applyAlignment="1">
      <alignment horizontal="center"/>
    </xf>
    <xf numFmtId="0" fontId="4" fillId="0" borderId="0" xfId="0" applyFont="1" applyFill="1" applyAlignment="1">
      <alignment horizontal="center"/>
    </xf>
    <xf numFmtId="0" fontId="4" fillId="0" borderId="0" xfId="0" applyFont="1" applyBorder="1" applyAlignment="1">
      <alignment horizontal="center"/>
    </xf>
    <xf numFmtId="0" fontId="2" fillId="0" borderId="0" xfId="0" applyFont="1" applyBorder="1" applyAlignment="1">
      <alignment horizontal="center"/>
    </xf>
    <xf numFmtId="0" fontId="6" fillId="0" borderId="8"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6" fillId="2" borderId="11" xfId="0" applyFont="1" applyFill="1" applyBorder="1" applyAlignment="1">
      <alignment horizontal="center"/>
    </xf>
    <xf numFmtId="0" fontId="6" fillId="2" borderId="5" xfId="0" applyFont="1" applyFill="1" applyBorder="1" applyAlignment="1">
      <alignment horizontal="center"/>
    </xf>
    <xf numFmtId="0" fontId="9" fillId="0" borderId="1" xfId="0" applyFont="1" applyBorder="1" applyAlignment="1">
      <alignment horizontal="center"/>
    </xf>
    <xf numFmtId="0" fontId="9" fillId="0" borderId="0"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0" fontId="3" fillId="0" borderId="2" xfId="0" applyFont="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10" xfId="0" applyFont="1" applyFill="1" applyBorder="1" applyAlignment="1">
      <alignment horizontal="center"/>
    </xf>
    <xf numFmtId="0" fontId="4" fillId="0" borderId="5" xfId="0" applyFont="1" applyBorder="1" applyAlignment="1">
      <alignment horizontal="center"/>
    </xf>
    <xf numFmtId="0" fontId="6" fillId="2" borderId="11" xfId="0" applyFont="1" applyFill="1" applyBorder="1" applyAlignment="1">
      <alignment horizontal="left"/>
    </xf>
    <xf numFmtId="0" fontId="6" fillId="2" borderId="5" xfId="0" applyFont="1" applyFill="1" applyBorder="1" applyAlignment="1">
      <alignment horizontal="left"/>
    </xf>
    <xf numFmtId="164" fontId="7" fillId="0" borderId="5" xfId="0" applyNumberFormat="1" applyFont="1" applyBorder="1" applyAlignment="1">
      <alignment horizontal="center"/>
    </xf>
    <xf numFmtId="0" fontId="6" fillId="2" borderId="6" xfId="0" applyFont="1" applyFill="1" applyBorder="1" applyAlignment="1">
      <alignment horizontal="center"/>
    </xf>
    <xf numFmtId="0" fontId="6" fillId="2" borderId="8" xfId="0" applyFont="1" applyFill="1" applyBorder="1" applyAlignment="1">
      <alignment horizontal="center"/>
    </xf>
    <xf numFmtId="0" fontId="6" fillId="2" borderId="4" xfId="0" applyFont="1" applyFill="1" applyBorder="1" applyAlignment="1">
      <alignment horizontal="center"/>
    </xf>
    <xf numFmtId="0" fontId="6" fillId="2" borderId="10" xfId="0" applyFont="1" applyFill="1" applyBorder="1" applyAlignment="1">
      <alignment horizontal="center"/>
    </xf>
    <xf numFmtId="164" fontId="7" fillId="0" borderId="11" xfId="0" applyNumberFormat="1" applyFont="1" applyBorder="1" applyAlignment="1">
      <alignment horizontal="center"/>
    </xf>
    <xf numFmtId="0" fontId="7" fillId="2" borderId="5" xfId="0" applyFont="1" applyFill="1" applyBorder="1"/>
    <xf numFmtId="0" fontId="7" fillId="2" borderId="8" xfId="0" applyFont="1" applyFill="1" applyBorder="1"/>
    <xf numFmtId="0" fontId="6" fillId="2" borderId="7"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70986982473894"/>
          <c:y val="8.6378877665070963E-2"/>
          <c:w val="0.66439982860312652"/>
          <c:h val="0.76412084088332011"/>
        </c:manualLayout>
      </c:layout>
      <c:barChart>
        <c:barDir val="col"/>
        <c:grouping val="clustered"/>
        <c:varyColors val="0"/>
        <c:ser>
          <c:idx val="0"/>
          <c:order val="0"/>
          <c:tx>
            <c:strRef>
              <c:f>'Equity Matrix'!$B$6</c:f>
              <c:strCache>
                <c:ptCount val="1"/>
                <c:pt idx="0">
                  <c:v>Low Value Range</c:v>
                </c:pt>
              </c:strCache>
            </c:strRef>
          </c:tx>
          <c:spPr>
            <a:solidFill>
              <a:srgbClr val="63AAFE"/>
            </a:solidFill>
            <a:ln w="12700">
              <a:solidFill>
                <a:srgbClr val="000000"/>
              </a:solidFill>
              <a:prstDash val="solid"/>
            </a:ln>
          </c:spPr>
          <c:invertIfNegative val="0"/>
          <c:cat>
            <c:strRef>
              <c:f>'Equity Matrix'!$C$4:$D$5</c:f>
              <c:strCache>
                <c:ptCount val="2"/>
                <c:pt idx="0">
                  <c:v>SALES PRICE</c:v>
                </c:pt>
                <c:pt idx="1">
                  <c:v>EQUITY </c:v>
                </c:pt>
              </c:strCache>
            </c:strRef>
          </c:cat>
          <c:val>
            <c:numRef>
              <c:f>'Equity Matrix'!$C$6:$D$6</c:f>
              <c:numCache>
                <c:formatCode>_("$"* #,##0_);_("$"* \(#,##0\);_("$"* "-"_);_(@_)</c:formatCode>
                <c:ptCount val="2"/>
                <c:pt idx="0" formatCode="&quot;$&quot;#,##0_);[Red]\(&quot;$&quot;#,##0\)">
                  <c:v>2131500</c:v>
                </c:pt>
                <c:pt idx="1">
                  <c:v>1982295</c:v>
                </c:pt>
              </c:numCache>
            </c:numRef>
          </c:val>
          <c:extLst>
            <c:ext xmlns:c16="http://schemas.microsoft.com/office/drawing/2014/chart" uri="{C3380CC4-5D6E-409C-BE32-E72D297353CC}">
              <c16:uniqueId val="{00000000-2E3D-AE42-A7D4-23237A9A1BE2}"/>
            </c:ext>
          </c:extLst>
        </c:ser>
        <c:ser>
          <c:idx val="1"/>
          <c:order val="1"/>
          <c:tx>
            <c:strRef>
              <c:f>'Equity Matrix'!$B$7</c:f>
              <c:strCache>
                <c:ptCount val="1"/>
                <c:pt idx="0">
                  <c:v>Most Probable Value Range</c:v>
                </c:pt>
              </c:strCache>
            </c:strRef>
          </c:tx>
          <c:spPr>
            <a:solidFill>
              <a:srgbClr val="DD2D32"/>
            </a:solidFill>
            <a:ln w="12700">
              <a:solidFill>
                <a:srgbClr val="000000"/>
              </a:solidFill>
              <a:prstDash val="solid"/>
            </a:ln>
          </c:spPr>
          <c:invertIfNegative val="0"/>
          <c:cat>
            <c:strRef>
              <c:f>'Equity Matrix'!$C$4:$D$5</c:f>
              <c:strCache>
                <c:ptCount val="2"/>
                <c:pt idx="0">
                  <c:v>SALES PRICE</c:v>
                </c:pt>
                <c:pt idx="1">
                  <c:v>EQUITY </c:v>
                </c:pt>
              </c:strCache>
            </c:strRef>
          </c:cat>
          <c:val>
            <c:numRef>
              <c:f>'Equity Matrix'!$C$7:$D$7</c:f>
              <c:numCache>
                <c:formatCode>_("$"* #,##0_);_("$"* \(#,##0\);_("$"* "-"_);_(@_)</c:formatCode>
                <c:ptCount val="2"/>
                <c:pt idx="0" formatCode="&quot;$&quot;#,##0_);[Red]\(&quot;$&quot;#,##0\)">
                  <c:v>2192400</c:v>
                </c:pt>
                <c:pt idx="1">
                  <c:v>2038932</c:v>
                </c:pt>
              </c:numCache>
            </c:numRef>
          </c:val>
          <c:extLst>
            <c:ext xmlns:c16="http://schemas.microsoft.com/office/drawing/2014/chart" uri="{C3380CC4-5D6E-409C-BE32-E72D297353CC}">
              <c16:uniqueId val="{00000001-2E3D-AE42-A7D4-23237A9A1BE2}"/>
            </c:ext>
          </c:extLst>
        </c:ser>
        <c:ser>
          <c:idx val="2"/>
          <c:order val="2"/>
          <c:tx>
            <c:strRef>
              <c:f>'Equity Matrix'!$B$8</c:f>
              <c:strCache>
                <c:ptCount val="1"/>
                <c:pt idx="0">
                  <c:v>High Value Range</c:v>
                </c:pt>
              </c:strCache>
            </c:strRef>
          </c:tx>
          <c:spPr>
            <a:solidFill>
              <a:srgbClr val="FFF58C"/>
            </a:solidFill>
            <a:ln w="12700">
              <a:solidFill>
                <a:srgbClr val="000000"/>
              </a:solidFill>
              <a:prstDash val="solid"/>
            </a:ln>
          </c:spPr>
          <c:invertIfNegative val="0"/>
          <c:cat>
            <c:strRef>
              <c:f>'Equity Matrix'!$C$4:$D$5</c:f>
              <c:strCache>
                <c:ptCount val="2"/>
                <c:pt idx="0">
                  <c:v>SALES PRICE</c:v>
                </c:pt>
                <c:pt idx="1">
                  <c:v>EQUITY </c:v>
                </c:pt>
              </c:strCache>
            </c:strRef>
          </c:cat>
          <c:val>
            <c:numRef>
              <c:f>'Equity Matrix'!$C$8:$D$8</c:f>
              <c:numCache>
                <c:formatCode>_("$"* #,##0_);_("$"* \(#,##0\);_("$"* "-"_);_(@_)</c:formatCode>
                <c:ptCount val="2"/>
                <c:pt idx="0" formatCode="&quot;$&quot;#,##0_);[Red]\(&quot;$&quot;#,##0\)">
                  <c:v>2253300</c:v>
                </c:pt>
                <c:pt idx="1">
                  <c:v>2095569</c:v>
                </c:pt>
              </c:numCache>
            </c:numRef>
          </c:val>
          <c:extLst>
            <c:ext xmlns:c16="http://schemas.microsoft.com/office/drawing/2014/chart" uri="{C3380CC4-5D6E-409C-BE32-E72D297353CC}">
              <c16:uniqueId val="{00000002-2E3D-AE42-A7D4-23237A9A1BE2}"/>
            </c:ext>
          </c:extLst>
        </c:ser>
        <c:ser>
          <c:idx val="3"/>
          <c:order val="3"/>
          <c:tx>
            <c:strRef>
              <c:f>'Equity Matrix'!$B$9</c:f>
              <c:strCache>
                <c:ptCount val="1"/>
                <c:pt idx="0">
                  <c:v>Very High Value Range</c:v>
                </c:pt>
              </c:strCache>
            </c:strRef>
          </c:tx>
          <c:spPr>
            <a:solidFill>
              <a:srgbClr val="4EE257"/>
            </a:solidFill>
            <a:ln w="12700">
              <a:solidFill>
                <a:srgbClr val="000000"/>
              </a:solidFill>
              <a:prstDash val="solid"/>
            </a:ln>
          </c:spPr>
          <c:invertIfNegative val="0"/>
          <c:cat>
            <c:strRef>
              <c:f>'Equity Matrix'!$C$4:$D$5</c:f>
              <c:strCache>
                <c:ptCount val="2"/>
                <c:pt idx="0">
                  <c:v>SALES PRICE</c:v>
                </c:pt>
                <c:pt idx="1">
                  <c:v>EQUITY </c:v>
                </c:pt>
              </c:strCache>
            </c:strRef>
          </c:cat>
          <c:val>
            <c:numRef>
              <c:f>'Equity Matrix'!$C$9:$D$9</c:f>
              <c:numCache>
                <c:formatCode>_("$"* #,##0_);_("$"* \(#,##0\);_("$"* "-"_);_(@_)</c:formatCode>
                <c:ptCount val="2"/>
                <c:pt idx="0" formatCode="&quot;$&quot;#,##0_);[Red]\(&quot;$&quot;#,##0\)">
                  <c:v>2314200</c:v>
                </c:pt>
                <c:pt idx="1">
                  <c:v>2152206</c:v>
                </c:pt>
              </c:numCache>
            </c:numRef>
          </c:val>
          <c:extLst>
            <c:ext xmlns:c16="http://schemas.microsoft.com/office/drawing/2014/chart" uri="{C3380CC4-5D6E-409C-BE32-E72D297353CC}">
              <c16:uniqueId val="{00000003-2E3D-AE42-A7D4-23237A9A1BE2}"/>
            </c:ext>
          </c:extLst>
        </c:ser>
        <c:dLbls>
          <c:showLegendKey val="0"/>
          <c:showVal val="0"/>
          <c:showCatName val="0"/>
          <c:showSerName val="0"/>
          <c:showPercent val="0"/>
          <c:showBubbleSize val="0"/>
        </c:dLbls>
        <c:gapWidth val="150"/>
        <c:axId val="1351098640"/>
        <c:axId val="1"/>
      </c:barChart>
      <c:catAx>
        <c:axId val="135109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quot;$&quot;#,##0_);[Red]\(&quot;$&quot;#,##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351098640"/>
        <c:crosses val="autoZero"/>
        <c:crossBetween val="between"/>
      </c:valAx>
      <c:spPr>
        <a:solidFill>
          <a:srgbClr val="C0C0C0"/>
        </a:solidFill>
        <a:ln w="12700">
          <a:solidFill>
            <a:srgbClr val="808080"/>
          </a:solidFill>
          <a:prstDash val="solid"/>
        </a:ln>
      </c:spPr>
    </c:plotArea>
    <c:legend>
      <c:legendPos val="r"/>
      <c:layout>
        <c:manualLayout>
          <c:xMode val="edge"/>
          <c:yMode val="edge"/>
          <c:x val="0.79896700412448451"/>
          <c:y val="0.32174940089010612"/>
          <c:w val="0.18122265966754159"/>
          <c:h val="0.27826977062649777"/>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CASH ON CASH RETURN</a:t>
            </a:r>
          </a:p>
        </c:rich>
      </c:tx>
      <c:layout>
        <c:manualLayout>
          <c:xMode val="edge"/>
          <c:yMode val="edge"/>
          <c:x val="0.295315710536183"/>
          <c:y val="3.6544636465896313E-2"/>
        </c:manualLayout>
      </c:layout>
      <c:overlay val="0"/>
      <c:spPr>
        <a:noFill/>
        <a:ln w="25400">
          <a:noFill/>
        </a:ln>
      </c:spPr>
    </c:title>
    <c:autoTitleDeleted val="0"/>
    <c:plotArea>
      <c:layout>
        <c:manualLayout>
          <c:layoutTarget val="inner"/>
          <c:xMode val="edge"/>
          <c:yMode val="edge"/>
          <c:x val="0.16293279022403259"/>
          <c:y val="0.22591398773941637"/>
          <c:w val="0.48268839103869654"/>
          <c:h val="0.62458573080897462"/>
        </c:manualLayout>
      </c:layout>
      <c:barChart>
        <c:barDir val="col"/>
        <c:grouping val="clustered"/>
        <c:varyColors val="0"/>
        <c:ser>
          <c:idx val="0"/>
          <c:order val="0"/>
          <c:tx>
            <c:strRef>
              <c:f>'Equity Matrix'!$F$6</c:f>
              <c:strCache>
                <c:ptCount val="1"/>
                <c:pt idx="0">
                  <c:v>Low Value Range</c:v>
                </c:pt>
              </c:strCache>
            </c:strRef>
          </c:tx>
          <c:spPr>
            <a:solidFill>
              <a:srgbClr val="63AAFE"/>
            </a:solidFill>
            <a:ln w="12700">
              <a:solidFill>
                <a:srgbClr val="000000"/>
              </a:solidFill>
              <a:prstDash val="solid"/>
            </a:ln>
          </c:spPr>
          <c:invertIfNegative val="0"/>
          <c:cat>
            <c:numRef>
              <c:f>'Equity Matrix'!$G$5:$K$5</c:f>
              <c:numCache>
                <c:formatCode>0.0%</c:formatCode>
                <c:ptCount val="5"/>
                <c:pt idx="0">
                  <c:v>0.06</c:v>
                </c:pt>
                <c:pt idx="1">
                  <c:v>6.5000000000000002E-2</c:v>
                </c:pt>
                <c:pt idx="2">
                  <c:v>7.0000000000000007E-2</c:v>
                </c:pt>
                <c:pt idx="3">
                  <c:v>7.4999999999999997E-2</c:v>
                </c:pt>
                <c:pt idx="4">
                  <c:v>0.08</c:v>
                </c:pt>
              </c:numCache>
            </c:numRef>
          </c:cat>
          <c:val>
            <c:numRef>
              <c:f>'Equity Matrix'!$G$6:$K$6</c:f>
              <c:numCache>
                <c:formatCode>"$"#,##0</c:formatCode>
                <c:ptCount val="5"/>
                <c:pt idx="0">
                  <c:v>118937.7</c:v>
                </c:pt>
                <c:pt idx="1">
                  <c:v>128849.175</c:v>
                </c:pt>
                <c:pt idx="2">
                  <c:v>138760.65000000002</c:v>
                </c:pt>
                <c:pt idx="3">
                  <c:v>148672.125</c:v>
                </c:pt>
                <c:pt idx="4">
                  <c:v>158583.6</c:v>
                </c:pt>
              </c:numCache>
            </c:numRef>
          </c:val>
          <c:extLst>
            <c:ext xmlns:c16="http://schemas.microsoft.com/office/drawing/2014/chart" uri="{C3380CC4-5D6E-409C-BE32-E72D297353CC}">
              <c16:uniqueId val="{00000000-6876-8D4E-913B-FA66C0AC0ECF}"/>
            </c:ext>
          </c:extLst>
        </c:ser>
        <c:ser>
          <c:idx val="1"/>
          <c:order val="1"/>
          <c:tx>
            <c:strRef>
              <c:f>'Equity Matrix'!$F$7</c:f>
              <c:strCache>
                <c:ptCount val="1"/>
                <c:pt idx="0">
                  <c:v>Most Probable Value Range</c:v>
                </c:pt>
              </c:strCache>
            </c:strRef>
          </c:tx>
          <c:spPr>
            <a:solidFill>
              <a:srgbClr val="DD2D32"/>
            </a:solidFill>
            <a:ln w="12700">
              <a:solidFill>
                <a:srgbClr val="000000"/>
              </a:solidFill>
              <a:prstDash val="solid"/>
            </a:ln>
          </c:spPr>
          <c:invertIfNegative val="0"/>
          <c:cat>
            <c:numRef>
              <c:f>'Equity Matrix'!$G$5:$K$5</c:f>
              <c:numCache>
                <c:formatCode>0.0%</c:formatCode>
                <c:ptCount val="5"/>
                <c:pt idx="0">
                  <c:v>0.06</c:v>
                </c:pt>
                <c:pt idx="1">
                  <c:v>6.5000000000000002E-2</c:v>
                </c:pt>
                <c:pt idx="2">
                  <c:v>7.0000000000000007E-2</c:v>
                </c:pt>
                <c:pt idx="3">
                  <c:v>7.4999999999999997E-2</c:v>
                </c:pt>
                <c:pt idx="4">
                  <c:v>0.08</c:v>
                </c:pt>
              </c:numCache>
            </c:numRef>
          </c:cat>
          <c:val>
            <c:numRef>
              <c:f>'Equity Matrix'!$G$7:$K$7</c:f>
              <c:numCache>
                <c:formatCode>"$"#,##0</c:formatCode>
                <c:ptCount val="5"/>
                <c:pt idx="0">
                  <c:v>122335.92</c:v>
                </c:pt>
                <c:pt idx="1">
                  <c:v>132530.58000000002</c:v>
                </c:pt>
                <c:pt idx="2">
                  <c:v>142725.24000000002</c:v>
                </c:pt>
                <c:pt idx="3">
                  <c:v>152919.9</c:v>
                </c:pt>
                <c:pt idx="4">
                  <c:v>163114.56</c:v>
                </c:pt>
              </c:numCache>
            </c:numRef>
          </c:val>
          <c:extLst>
            <c:ext xmlns:c16="http://schemas.microsoft.com/office/drawing/2014/chart" uri="{C3380CC4-5D6E-409C-BE32-E72D297353CC}">
              <c16:uniqueId val="{00000001-6876-8D4E-913B-FA66C0AC0ECF}"/>
            </c:ext>
          </c:extLst>
        </c:ser>
        <c:ser>
          <c:idx val="2"/>
          <c:order val="2"/>
          <c:tx>
            <c:strRef>
              <c:f>'Equity Matrix'!$F$8</c:f>
              <c:strCache>
                <c:ptCount val="1"/>
                <c:pt idx="0">
                  <c:v>High Value Range</c:v>
                </c:pt>
              </c:strCache>
            </c:strRef>
          </c:tx>
          <c:spPr>
            <a:solidFill>
              <a:srgbClr val="FFF58C"/>
            </a:solidFill>
            <a:ln w="12700">
              <a:solidFill>
                <a:srgbClr val="000000"/>
              </a:solidFill>
              <a:prstDash val="solid"/>
            </a:ln>
          </c:spPr>
          <c:invertIfNegative val="0"/>
          <c:cat>
            <c:numRef>
              <c:f>'Equity Matrix'!$G$5:$K$5</c:f>
              <c:numCache>
                <c:formatCode>0.0%</c:formatCode>
                <c:ptCount val="5"/>
                <c:pt idx="0">
                  <c:v>0.06</c:v>
                </c:pt>
                <c:pt idx="1">
                  <c:v>6.5000000000000002E-2</c:v>
                </c:pt>
                <c:pt idx="2">
                  <c:v>7.0000000000000007E-2</c:v>
                </c:pt>
                <c:pt idx="3">
                  <c:v>7.4999999999999997E-2</c:v>
                </c:pt>
                <c:pt idx="4">
                  <c:v>0.08</c:v>
                </c:pt>
              </c:numCache>
            </c:numRef>
          </c:cat>
          <c:val>
            <c:numRef>
              <c:f>'Equity Matrix'!$G$8:$K$8</c:f>
              <c:numCache>
                <c:formatCode>"$"#,##0</c:formatCode>
                <c:ptCount val="5"/>
                <c:pt idx="0">
                  <c:v>125734.14</c:v>
                </c:pt>
                <c:pt idx="1">
                  <c:v>136211.98500000002</c:v>
                </c:pt>
                <c:pt idx="2">
                  <c:v>146689.83000000002</c:v>
                </c:pt>
                <c:pt idx="3">
                  <c:v>157167.67499999999</c:v>
                </c:pt>
                <c:pt idx="4">
                  <c:v>167645.51999999999</c:v>
                </c:pt>
              </c:numCache>
            </c:numRef>
          </c:val>
          <c:extLst>
            <c:ext xmlns:c16="http://schemas.microsoft.com/office/drawing/2014/chart" uri="{C3380CC4-5D6E-409C-BE32-E72D297353CC}">
              <c16:uniqueId val="{00000002-6876-8D4E-913B-FA66C0AC0ECF}"/>
            </c:ext>
          </c:extLst>
        </c:ser>
        <c:ser>
          <c:idx val="3"/>
          <c:order val="3"/>
          <c:tx>
            <c:strRef>
              <c:f>'Equity Matrix'!$F$9</c:f>
              <c:strCache>
                <c:ptCount val="1"/>
                <c:pt idx="0">
                  <c:v>Very High Value Range</c:v>
                </c:pt>
              </c:strCache>
            </c:strRef>
          </c:tx>
          <c:spPr>
            <a:solidFill>
              <a:srgbClr val="4EE257"/>
            </a:solidFill>
            <a:ln w="12700">
              <a:solidFill>
                <a:srgbClr val="000000"/>
              </a:solidFill>
              <a:prstDash val="solid"/>
            </a:ln>
          </c:spPr>
          <c:invertIfNegative val="0"/>
          <c:cat>
            <c:numRef>
              <c:f>'Equity Matrix'!$G$5:$K$5</c:f>
              <c:numCache>
                <c:formatCode>0.0%</c:formatCode>
                <c:ptCount val="5"/>
                <c:pt idx="0">
                  <c:v>0.06</c:v>
                </c:pt>
                <c:pt idx="1">
                  <c:v>6.5000000000000002E-2</c:v>
                </c:pt>
                <c:pt idx="2">
                  <c:v>7.0000000000000007E-2</c:v>
                </c:pt>
                <c:pt idx="3">
                  <c:v>7.4999999999999997E-2</c:v>
                </c:pt>
                <c:pt idx="4">
                  <c:v>0.08</c:v>
                </c:pt>
              </c:numCache>
            </c:numRef>
          </c:cat>
          <c:val>
            <c:numRef>
              <c:f>'Equity Matrix'!$G$9:$K$9</c:f>
              <c:numCache>
                <c:formatCode>"$"#,##0</c:formatCode>
                <c:ptCount val="5"/>
                <c:pt idx="0">
                  <c:v>129132.36</c:v>
                </c:pt>
                <c:pt idx="1">
                  <c:v>139893.39000000001</c:v>
                </c:pt>
                <c:pt idx="2">
                  <c:v>150654.42000000001</c:v>
                </c:pt>
                <c:pt idx="3">
                  <c:v>161415.44999999998</c:v>
                </c:pt>
                <c:pt idx="4">
                  <c:v>172176.48</c:v>
                </c:pt>
              </c:numCache>
            </c:numRef>
          </c:val>
          <c:extLst>
            <c:ext xmlns:c16="http://schemas.microsoft.com/office/drawing/2014/chart" uri="{C3380CC4-5D6E-409C-BE32-E72D297353CC}">
              <c16:uniqueId val="{00000003-6876-8D4E-913B-FA66C0AC0ECF}"/>
            </c:ext>
          </c:extLst>
        </c:ser>
        <c:dLbls>
          <c:showLegendKey val="0"/>
          <c:showVal val="0"/>
          <c:showCatName val="0"/>
          <c:showSerName val="0"/>
          <c:showPercent val="0"/>
          <c:showBubbleSize val="0"/>
        </c:dLbls>
        <c:gapWidth val="150"/>
        <c:axId val="1247543712"/>
        <c:axId val="1"/>
      </c:barChart>
      <c:catAx>
        <c:axId val="1247543712"/>
        <c:scaling>
          <c:orientation val="minMax"/>
        </c:scaling>
        <c:delete val="0"/>
        <c:axPos val="b"/>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quot;$&quot;#,##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47543712"/>
        <c:crosses val="autoZero"/>
        <c:crossBetween val="between"/>
      </c:valAx>
      <c:spPr>
        <a:solidFill>
          <a:srgbClr val="C0C0C0"/>
        </a:solidFill>
        <a:ln w="12700">
          <a:solidFill>
            <a:srgbClr val="808080"/>
          </a:solidFill>
          <a:prstDash val="solid"/>
        </a:ln>
      </c:spPr>
    </c:plotArea>
    <c:legend>
      <c:legendPos val="r"/>
      <c:layout>
        <c:manualLayout>
          <c:xMode val="edge"/>
          <c:yMode val="edge"/>
          <c:x val="0.68811754780652423"/>
          <c:y val="0.28139448478031159"/>
          <c:w val="0.27619928758905132"/>
          <c:h val="0.48486382384020188"/>
        </c:manualLayout>
      </c:layout>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295275</xdr:colOff>
      <xdr:row>0</xdr:row>
      <xdr:rowOff>219075</xdr:rowOff>
    </xdr:from>
    <xdr:to>
      <xdr:col>10</xdr:col>
      <xdr:colOff>168275</xdr:colOff>
      <xdr:row>0</xdr:row>
      <xdr:rowOff>733425</xdr:rowOff>
    </xdr:to>
    <xdr:sp macro="" textlink="">
      <xdr:nvSpPr>
        <xdr:cNvPr id="3076" name="Text Box 4">
          <a:extLst>
            <a:ext uri="{FF2B5EF4-FFF2-40B4-BE49-F238E27FC236}">
              <a16:creationId xmlns:a16="http://schemas.microsoft.com/office/drawing/2014/main" id="{4815A488-D59F-4747-9AD9-18296125DBA6}"/>
            </a:ext>
          </a:extLst>
        </xdr:cNvPr>
        <xdr:cNvSpPr txBox="1">
          <a:spLocks noChangeArrowheads="1"/>
        </xdr:cNvSpPr>
      </xdr:nvSpPr>
      <xdr:spPr bwMode="auto">
        <a:xfrm>
          <a:off x="371475" y="219075"/>
          <a:ext cx="5886450" cy="51435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FFFFFF"/>
              </a:solidFill>
              <a:latin typeface="Cambria"/>
            </a:rPr>
            <a:t>CASH FLOW </a:t>
          </a:r>
        </a:p>
        <a:p>
          <a:pPr algn="l" rtl="0">
            <a:defRPr sz="1000"/>
          </a:pPr>
          <a:r>
            <a:rPr lang="en-US" sz="1200" b="1" i="0" u="none" strike="noStrike" baseline="0">
              <a:solidFill>
                <a:srgbClr val="FFFFFF"/>
              </a:solidFill>
              <a:latin typeface="Cambria"/>
            </a:rPr>
            <a:t>ANALYSIS</a:t>
          </a:r>
        </a:p>
      </xdr:txBody>
    </xdr:sp>
    <xdr:clientData/>
  </xdr:twoCellAnchor>
  <xdr:twoCellAnchor editAs="oneCell">
    <xdr:from>
      <xdr:col>4</xdr:col>
      <xdr:colOff>76200</xdr:colOff>
      <xdr:row>0</xdr:row>
      <xdr:rowOff>88900</xdr:rowOff>
    </xdr:from>
    <xdr:to>
      <xdr:col>7</xdr:col>
      <xdr:colOff>685800</xdr:colOff>
      <xdr:row>0</xdr:row>
      <xdr:rowOff>762000</xdr:rowOff>
    </xdr:to>
    <xdr:pic>
      <xdr:nvPicPr>
        <xdr:cNvPr id="3557" name="Picture 5" descr="South Coast Commercial Real Estate">
          <a:extLst>
            <a:ext uri="{FF2B5EF4-FFF2-40B4-BE49-F238E27FC236}">
              <a16:creationId xmlns:a16="http://schemas.microsoft.com/office/drawing/2014/main" id="{9434F535-6D22-C641-9C7E-5EC25B055E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1100" y="88900"/>
          <a:ext cx="30226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101600</xdr:colOff>
      <xdr:row>57</xdr:row>
      <xdr:rowOff>63500</xdr:rowOff>
    </xdr:from>
    <xdr:to>
      <xdr:col>7</xdr:col>
      <xdr:colOff>698500</xdr:colOff>
      <xdr:row>61</xdr:row>
      <xdr:rowOff>88900</xdr:rowOff>
    </xdr:to>
    <xdr:pic>
      <xdr:nvPicPr>
        <xdr:cNvPr id="3558" name="Picture 6" descr="South Coast Commercial Real Estate">
          <a:extLst>
            <a:ext uri="{FF2B5EF4-FFF2-40B4-BE49-F238E27FC236}">
              <a16:creationId xmlns:a16="http://schemas.microsoft.com/office/drawing/2014/main" id="{6ECBF425-501C-144A-8A6C-E7BC0ABEA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10109200"/>
          <a:ext cx="30099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0</xdr:row>
      <xdr:rowOff>142875</xdr:rowOff>
    </xdr:from>
    <xdr:to>
      <xdr:col>10</xdr:col>
      <xdr:colOff>253994</xdr:colOff>
      <xdr:row>0</xdr:row>
      <xdr:rowOff>657225</xdr:rowOff>
    </xdr:to>
    <xdr:sp macro="" textlink="">
      <xdr:nvSpPr>
        <xdr:cNvPr id="4102" name="Text Box 6">
          <a:extLst>
            <a:ext uri="{FF2B5EF4-FFF2-40B4-BE49-F238E27FC236}">
              <a16:creationId xmlns:a16="http://schemas.microsoft.com/office/drawing/2014/main" id="{A5394074-ED4B-7942-AABB-0166696CB11B}"/>
            </a:ext>
          </a:extLst>
        </xdr:cNvPr>
        <xdr:cNvSpPr txBox="1">
          <a:spLocks noChangeArrowheads="1"/>
        </xdr:cNvSpPr>
      </xdr:nvSpPr>
      <xdr:spPr bwMode="auto">
        <a:xfrm>
          <a:off x="352425" y="142875"/>
          <a:ext cx="5886450" cy="514350"/>
        </a:xfrm>
        <a:prstGeom prst="rect">
          <a:avLst/>
        </a:prstGeom>
        <a:noFill/>
        <a:ln w="9525">
          <a:noFill/>
          <a:miter lim="800000"/>
          <a:headEnd/>
          <a:tailEnd/>
        </a:ln>
      </xdr:spPr>
      <xdr:txBody>
        <a:bodyPr vertOverflow="clip" wrap="square" lIns="45720" tIns="36576" rIns="0" bIns="0" anchor="t" upright="1"/>
        <a:lstStyle/>
        <a:p>
          <a:pPr algn="l" rtl="0">
            <a:defRPr sz="1000"/>
          </a:pPr>
          <a:r>
            <a:rPr lang="en-US" sz="1800" b="1" i="0" u="none" strike="noStrike" baseline="0">
              <a:solidFill>
                <a:srgbClr val="FFFFFF"/>
              </a:solidFill>
              <a:latin typeface="Arial"/>
              <a:cs typeface="Arial"/>
            </a:rPr>
            <a:t>VALUE MATRIX</a:t>
          </a:r>
        </a:p>
      </xdr:txBody>
    </xdr:sp>
    <xdr:clientData/>
  </xdr:twoCellAnchor>
  <xdr:twoCellAnchor editAs="oneCell">
    <xdr:from>
      <xdr:col>4</xdr:col>
      <xdr:colOff>571500</xdr:colOff>
      <xdr:row>29</xdr:row>
      <xdr:rowOff>25400</xdr:rowOff>
    </xdr:from>
    <xdr:to>
      <xdr:col>8</xdr:col>
      <xdr:colOff>635000</xdr:colOff>
      <xdr:row>32</xdr:row>
      <xdr:rowOff>114300</xdr:rowOff>
    </xdr:to>
    <xdr:pic>
      <xdr:nvPicPr>
        <xdr:cNvPr id="4571" name="Picture 7" descr="South Coast Commercial Real Estate">
          <a:extLst>
            <a:ext uri="{FF2B5EF4-FFF2-40B4-BE49-F238E27FC236}">
              <a16:creationId xmlns:a16="http://schemas.microsoft.com/office/drawing/2014/main" id="{63889017-BFEA-9841-96C1-F1ECED145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2600" y="5803900"/>
          <a:ext cx="29464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571500</xdr:colOff>
      <xdr:row>0</xdr:row>
      <xdr:rowOff>63500</xdr:rowOff>
    </xdr:from>
    <xdr:to>
      <xdr:col>8</xdr:col>
      <xdr:colOff>635000</xdr:colOff>
      <xdr:row>0</xdr:row>
      <xdr:rowOff>736600</xdr:rowOff>
    </xdr:to>
    <xdr:pic>
      <xdr:nvPicPr>
        <xdr:cNvPr id="4572" name="Picture 8" descr="South Coast Commercial Real Estate">
          <a:extLst>
            <a:ext uri="{FF2B5EF4-FFF2-40B4-BE49-F238E27FC236}">
              <a16:creationId xmlns:a16="http://schemas.microsoft.com/office/drawing/2014/main" id="{6C2EB8DA-6A2F-2C47-9F12-F5B7AF434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22600" y="63500"/>
          <a:ext cx="29464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215900</xdr:colOff>
      <xdr:row>1</xdr:row>
      <xdr:rowOff>76200</xdr:rowOff>
    </xdr:from>
    <xdr:to>
      <xdr:col>6</xdr:col>
      <xdr:colOff>561999</xdr:colOff>
      <xdr:row>2</xdr:row>
      <xdr:rowOff>428625</xdr:rowOff>
    </xdr:to>
    <xdr:sp macro="" textlink="">
      <xdr:nvSpPr>
        <xdr:cNvPr id="5127" name="Text Box 7">
          <a:extLst>
            <a:ext uri="{FF2B5EF4-FFF2-40B4-BE49-F238E27FC236}">
              <a16:creationId xmlns:a16="http://schemas.microsoft.com/office/drawing/2014/main" id="{3CFB55E9-F2F9-E447-AAFF-9E6AEFFEBBFC}"/>
            </a:ext>
          </a:extLst>
        </xdr:cNvPr>
        <xdr:cNvSpPr txBox="1">
          <a:spLocks noChangeArrowheads="1"/>
        </xdr:cNvSpPr>
      </xdr:nvSpPr>
      <xdr:spPr bwMode="auto">
        <a:xfrm>
          <a:off x="190500" y="238125"/>
          <a:ext cx="5886450" cy="514350"/>
        </a:xfrm>
        <a:prstGeom prst="rect">
          <a:avLst/>
        </a:prstGeom>
        <a:noFill/>
        <a:ln w="9525">
          <a:noFill/>
          <a:miter lim="800000"/>
          <a:headEnd/>
          <a:tailEnd/>
        </a:ln>
      </xdr:spPr>
      <xdr:txBody>
        <a:bodyPr vertOverflow="clip" wrap="square" lIns="45720" tIns="36576" rIns="0" bIns="0" anchor="t" upright="1"/>
        <a:lstStyle/>
        <a:p>
          <a:pPr algn="l" rtl="0">
            <a:defRPr sz="1000"/>
          </a:pPr>
          <a:r>
            <a:rPr lang="en-US" sz="1800" b="1" i="0" u="none" strike="noStrike" baseline="0">
              <a:solidFill>
                <a:srgbClr val="FFFFFF"/>
              </a:solidFill>
              <a:latin typeface="Arial"/>
              <a:cs typeface="Arial"/>
            </a:rPr>
            <a:t>NET PROCEEDS</a:t>
          </a:r>
        </a:p>
      </xdr:txBody>
    </xdr:sp>
    <xdr:clientData/>
  </xdr:twoCellAnchor>
  <xdr:twoCellAnchor editAs="oneCell">
    <xdr:from>
      <xdr:col>0</xdr:col>
      <xdr:colOff>2324100</xdr:colOff>
      <xdr:row>37</xdr:row>
      <xdr:rowOff>76200</xdr:rowOff>
    </xdr:from>
    <xdr:to>
      <xdr:col>4</xdr:col>
      <xdr:colOff>355600</xdr:colOff>
      <xdr:row>41</xdr:row>
      <xdr:rowOff>101600</xdr:rowOff>
    </xdr:to>
    <xdr:pic>
      <xdr:nvPicPr>
        <xdr:cNvPr id="5596" name="Picture 8" descr="South Coast Commercial Real Estate">
          <a:extLst>
            <a:ext uri="{FF2B5EF4-FFF2-40B4-BE49-F238E27FC236}">
              <a16:creationId xmlns:a16="http://schemas.microsoft.com/office/drawing/2014/main" id="{17E05DFA-A0C6-FC4F-8574-84C4FC8338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8775700"/>
          <a:ext cx="30226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2362200</xdr:colOff>
      <xdr:row>0</xdr:row>
      <xdr:rowOff>139700</xdr:rowOff>
    </xdr:from>
    <xdr:to>
      <xdr:col>4</xdr:col>
      <xdr:colOff>393700</xdr:colOff>
      <xdr:row>2</xdr:row>
      <xdr:rowOff>482600</xdr:rowOff>
    </xdr:to>
    <xdr:pic>
      <xdr:nvPicPr>
        <xdr:cNvPr id="5597" name="Picture 9" descr="South Coast Commercial Real Estate">
          <a:extLst>
            <a:ext uri="{FF2B5EF4-FFF2-40B4-BE49-F238E27FC236}">
              <a16:creationId xmlns:a16="http://schemas.microsoft.com/office/drawing/2014/main" id="{1EFF92EF-A4AB-4540-9A7E-775054B6A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0" y="139700"/>
          <a:ext cx="30226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12</xdr:row>
      <xdr:rowOff>114300</xdr:rowOff>
    </xdr:from>
    <xdr:to>
      <xdr:col>6</xdr:col>
      <xdr:colOff>355600</xdr:colOff>
      <xdr:row>30</xdr:row>
      <xdr:rowOff>63500</xdr:rowOff>
    </xdr:to>
    <xdr:graphicFrame macro="">
      <xdr:nvGraphicFramePr>
        <xdr:cNvPr id="1810" name="Chart 1">
          <a:extLst>
            <a:ext uri="{FF2B5EF4-FFF2-40B4-BE49-F238E27FC236}">
              <a16:creationId xmlns:a16="http://schemas.microsoft.com/office/drawing/2014/main" id="{F7EF5982-B37B-7547-BE47-617A68D37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533400</xdr:colOff>
      <xdr:row>14</xdr:row>
      <xdr:rowOff>101600</xdr:rowOff>
    </xdr:from>
    <xdr:to>
      <xdr:col>12</xdr:col>
      <xdr:colOff>660400</xdr:colOff>
      <xdr:row>32</xdr:row>
      <xdr:rowOff>63500</xdr:rowOff>
    </xdr:to>
    <xdr:graphicFrame macro="">
      <xdr:nvGraphicFramePr>
        <xdr:cNvPr id="1811" name="Chart 2">
          <a:extLst>
            <a:ext uri="{FF2B5EF4-FFF2-40B4-BE49-F238E27FC236}">
              <a16:creationId xmlns:a16="http://schemas.microsoft.com/office/drawing/2014/main" id="{E5CE4B09-DCBB-F149-9ACE-9824162A6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xdr:row>
      <xdr:rowOff>190500</xdr:rowOff>
    </xdr:from>
    <xdr:to>
      <xdr:col>8</xdr:col>
      <xdr:colOff>266707</xdr:colOff>
      <xdr:row>1</xdr:row>
      <xdr:rowOff>1123950</xdr:rowOff>
    </xdr:to>
    <xdr:sp macro="" textlink="">
      <xdr:nvSpPr>
        <xdr:cNvPr id="1031" name="Text Box 7">
          <a:extLst>
            <a:ext uri="{FF2B5EF4-FFF2-40B4-BE49-F238E27FC236}">
              <a16:creationId xmlns:a16="http://schemas.microsoft.com/office/drawing/2014/main" id="{109ADA7D-90FD-3549-95DA-8F2422767A96}"/>
            </a:ext>
          </a:extLst>
        </xdr:cNvPr>
        <xdr:cNvSpPr txBox="1">
          <a:spLocks noChangeArrowheads="1"/>
        </xdr:cNvSpPr>
      </xdr:nvSpPr>
      <xdr:spPr bwMode="auto">
        <a:xfrm>
          <a:off x="466725" y="352425"/>
          <a:ext cx="9972675" cy="933450"/>
        </a:xfrm>
        <a:prstGeom prst="rect">
          <a:avLst/>
        </a:prstGeom>
        <a:noFill/>
        <a:ln w="9525">
          <a:noFill/>
          <a:miter lim="800000"/>
          <a:headEnd/>
          <a:tailEnd/>
        </a:ln>
      </xdr:spPr>
      <xdr:txBody>
        <a:bodyPr vertOverflow="clip" wrap="square" lIns="54864" tIns="50292" rIns="0" bIns="0" anchor="t" upright="1"/>
        <a:lstStyle/>
        <a:p>
          <a:pPr algn="l" rtl="0">
            <a:defRPr sz="1000"/>
          </a:pPr>
          <a:r>
            <a:rPr lang="en-US" sz="2600" b="1" i="0" u="none" strike="noStrike" baseline="0">
              <a:solidFill>
                <a:srgbClr val="FFFFFF"/>
              </a:solidFill>
              <a:latin typeface="Arial"/>
              <a:cs typeface="Arial"/>
            </a:rPr>
            <a:t>EQUITY MATRIX</a:t>
          </a:r>
        </a:p>
      </xdr:txBody>
    </xdr:sp>
    <xdr:clientData/>
  </xdr:twoCellAnchor>
  <xdr:twoCellAnchor editAs="oneCell">
    <xdr:from>
      <xdr:col>3</xdr:col>
      <xdr:colOff>1244600</xdr:colOff>
      <xdr:row>0</xdr:row>
      <xdr:rowOff>114300</xdr:rowOff>
    </xdr:from>
    <xdr:to>
      <xdr:col>6</xdr:col>
      <xdr:colOff>520700</xdr:colOff>
      <xdr:row>1</xdr:row>
      <xdr:rowOff>1358900</xdr:rowOff>
    </xdr:to>
    <xdr:pic>
      <xdr:nvPicPr>
        <xdr:cNvPr id="1813" name="Picture 8" descr="South Coast Commercial Real Estate">
          <a:extLst>
            <a:ext uri="{FF2B5EF4-FFF2-40B4-BE49-F238E27FC236}">
              <a16:creationId xmlns:a16="http://schemas.microsoft.com/office/drawing/2014/main" id="{178A8A81-69DD-0648-8CA8-452E7F5983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10300" y="114300"/>
          <a:ext cx="41783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863600</xdr:colOff>
      <xdr:row>37</xdr:row>
      <xdr:rowOff>101600</xdr:rowOff>
    </xdr:from>
    <xdr:to>
      <xdr:col>6</xdr:col>
      <xdr:colOff>584200</xdr:colOff>
      <xdr:row>45</xdr:row>
      <xdr:rowOff>101600</xdr:rowOff>
    </xdr:to>
    <xdr:pic>
      <xdr:nvPicPr>
        <xdr:cNvPr id="1814" name="Picture 10" descr="South Coast Commercial Real Estate">
          <a:extLst>
            <a:ext uri="{FF2B5EF4-FFF2-40B4-BE49-F238E27FC236}">
              <a16:creationId xmlns:a16="http://schemas.microsoft.com/office/drawing/2014/main" id="{DD583B4D-4E99-9C42-A07B-8262BEDD814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29300" y="10553700"/>
          <a:ext cx="4622800" cy="132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119"/>
  <sheetViews>
    <sheetView tabSelected="1" view="pageLayout" zoomScale="150" zoomScaleNormal="100" zoomScaleSheetLayoutView="150" zoomScalePageLayoutView="150" workbookViewId="0">
      <selection activeCell="C6" sqref="C6"/>
    </sheetView>
  </sheetViews>
  <sheetFormatPr baseColWidth="10" defaultColWidth="8.83203125" defaultRowHeight="13"/>
  <cols>
    <col min="1" max="1" width="1.6640625" customWidth="1"/>
    <col min="2" max="2" width="9.5" bestFit="1" customWidth="1"/>
    <col min="3" max="3" width="8.5" customWidth="1"/>
    <col min="4" max="4" width="11.5" customWidth="1"/>
    <col min="5" max="5" width="9.33203125" bestFit="1" customWidth="1"/>
    <col min="6" max="6" width="11.6640625" customWidth="1"/>
    <col min="7" max="7" width="10.6640625" customWidth="1"/>
    <col min="8" max="8" width="10.5" bestFit="1" customWidth="1"/>
    <col min="9" max="9" width="9.33203125" bestFit="1" customWidth="1"/>
    <col min="10" max="10" width="10.5" bestFit="1" customWidth="1"/>
    <col min="11" max="11" width="11.5" bestFit="1" customWidth="1"/>
    <col min="12" max="12" width="2.83203125" customWidth="1"/>
  </cols>
  <sheetData>
    <row r="1" spans="2:12" s="126" customFormat="1" ht="63.75" customHeight="1">
      <c r="B1" s="125"/>
      <c r="C1" s="125"/>
      <c r="D1" s="125"/>
      <c r="E1" s="125"/>
      <c r="F1" s="125"/>
      <c r="G1" s="125"/>
      <c r="H1" s="125"/>
      <c r="I1" s="125"/>
      <c r="J1" s="125"/>
      <c r="K1" s="125"/>
    </row>
    <row r="2" spans="2:12" ht="15" customHeight="1">
      <c r="B2" s="145" t="s">
        <v>0</v>
      </c>
      <c r="C2" s="145"/>
      <c r="D2" s="145"/>
      <c r="E2" s="145"/>
      <c r="F2" s="145"/>
      <c r="G2" s="145"/>
      <c r="H2" s="145"/>
      <c r="I2" s="145"/>
      <c r="J2" s="145"/>
      <c r="K2" s="145"/>
    </row>
    <row r="3" spans="2:12">
      <c r="B3" s="128"/>
      <c r="C3" s="128"/>
      <c r="D3" s="128"/>
      <c r="E3" s="128"/>
      <c r="F3" s="128"/>
      <c r="G3" s="128"/>
      <c r="H3" s="128"/>
      <c r="I3" s="128"/>
      <c r="J3" s="128"/>
      <c r="K3" s="129" t="s">
        <v>42</v>
      </c>
    </row>
    <row r="4" spans="2:12">
      <c r="B4" s="25" t="s">
        <v>1</v>
      </c>
      <c r="C4" s="26"/>
      <c r="D4" s="169" t="s">
        <v>2</v>
      </c>
      <c r="E4" s="169"/>
      <c r="F4" s="169" t="s">
        <v>3</v>
      </c>
      <c r="G4" s="169"/>
      <c r="H4" s="26" t="s">
        <v>4</v>
      </c>
      <c r="I4" s="26"/>
      <c r="J4" s="169" t="s">
        <v>5</v>
      </c>
      <c r="K4" s="170"/>
      <c r="L4" t="s">
        <v>42</v>
      </c>
    </row>
    <row r="5" spans="2:12">
      <c r="B5" s="8">
        <v>8</v>
      </c>
      <c r="C5" s="3"/>
      <c r="D5" s="163" t="s">
        <v>99</v>
      </c>
      <c r="E5" s="163"/>
      <c r="F5" s="163" t="s">
        <v>100</v>
      </c>
      <c r="G5" s="163"/>
      <c r="H5" s="7">
        <v>92107</v>
      </c>
      <c r="I5" s="4"/>
      <c r="J5" s="4" t="s">
        <v>42</v>
      </c>
      <c r="K5" s="60" t="s">
        <v>42</v>
      </c>
      <c r="L5" t="s">
        <v>42</v>
      </c>
    </row>
    <row r="6" spans="2:12">
      <c r="B6" s="41" t="s">
        <v>103</v>
      </c>
      <c r="C6" s="3"/>
      <c r="D6" s="3"/>
      <c r="E6" s="3"/>
      <c r="F6" s="4"/>
      <c r="G6" s="4"/>
      <c r="H6" s="4"/>
      <c r="I6" s="4"/>
      <c r="J6" s="4"/>
      <c r="K6" s="5"/>
    </row>
    <row r="7" spans="2:12">
      <c r="B7" s="150" t="s">
        <v>6</v>
      </c>
      <c r="C7" s="151"/>
      <c r="D7" s="151" t="s">
        <v>7</v>
      </c>
      <c r="E7" s="151"/>
      <c r="F7" s="151" t="s">
        <v>8</v>
      </c>
      <c r="G7" s="151"/>
      <c r="H7" s="27"/>
      <c r="I7" s="151" t="s">
        <v>9</v>
      </c>
      <c r="J7" s="172"/>
      <c r="K7" s="28"/>
    </row>
    <row r="8" spans="2:12">
      <c r="B8" s="174"/>
      <c r="C8" s="168"/>
      <c r="D8" s="30" t="s">
        <v>15</v>
      </c>
      <c r="E8" s="30" t="s">
        <v>16</v>
      </c>
      <c r="F8" s="30" t="s">
        <v>15</v>
      </c>
      <c r="G8" s="30" t="s">
        <v>16</v>
      </c>
      <c r="H8" s="31"/>
      <c r="I8" s="173"/>
      <c r="J8" s="173"/>
      <c r="K8" s="32"/>
    </row>
    <row r="9" spans="2:12">
      <c r="B9" s="171">
        <v>3249000</v>
      </c>
      <c r="C9" s="166"/>
      <c r="D9" s="47">
        <f>B9/E36</f>
        <v>13.33743842364532</v>
      </c>
      <c r="E9" s="47">
        <f>B9/F36</f>
        <v>12.245590230664858</v>
      </c>
      <c r="F9" s="138">
        <f>E40/B9</f>
        <v>5.027445367805479E-2</v>
      </c>
      <c r="G9" s="138">
        <f>F40/B9</f>
        <v>5.6759033548784241E-2</v>
      </c>
      <c r="H9" s="15"/>
      <c r="I9" s="166">
        <f>B9/B5</f>
        <v>406125</v>
      </c>
      <c r="J9" s="166"/>
      <c r="K9" s="14"/>
    </row>
    <row r="10" spans="2:12">
      <c r="B10" s="2"/>
      <c r="C10" s="3"/>
      <c r="D10" s="3"/>
      <c r="E10" s="3"/>
      <c r="F10" s="4"/>
      <c r="G10" s="4"/>
      <c r="H10" s="4"/>
      <c r="I10" s="4"/>
      <c r="J10" s="4"/>
      <c r="K10" s="5"/>
    </row>
    <row r="11" spans="2:12">
      <c r="B11" s="164" t="s">
        <v>10</v>
      </c>
      <c r="C11" s="165"/>
      <c r="D11" s="27" t="s">
        <v>12</v>
      </c>
      <c r="E11" s="33"/>
      <c r="F11" s="27" t="s">
        <v>13</v>
      </c>
      <c r="G11" s="33"/>
      <c r="H11" s="34"/>
      <c r="I11" s="151" t="s">
        <v>14</v>
      </c>
      <c r="J11" s="151"/>
      <c r="K11" s="28"/>
    </row>
    <row r="12" spans="2:12">
      <c r="B12" s="29" t="s">
        <v>11</v>
      </c>
      <c r="C12" s="35"/>
      <c r="D12" s="30" t="s">
        <v>11</v>
      </c>
      <c r="E12" s="35"/>
      <c r="F12" s="30" t="s">
        <v>11</v>
      </c>
      <c r="G12" s="35"/>
      <c r="H12" s="30"/>
      <c r="I12" s="168" t="s">
        <v>11</v>
      </c>
      <c r="J12" s="168"/>
      <c r="K12" s="32"/>
    </row>
    <row r="13" spans="2:12">
      <c r="B13" s="9">
        <f>+B9/D13</f>
        <v>543.67469879518069</v>
      </c>
      <c r="C13" s="3"/>
      <c r="D13" s="7">
        <v>5976</v>
      </c>
      <c r="E13" s="3"/>
      <c r="F13" s="61">
        <v>7000</v>
      </c>
      <c r="G13" s="4"/>
      <c r="H13" s="7"/>
      <c r="I13" s="163">
        <v>1957</v>
      </c>
      <c r="J13" s="163"/>
      <c r="K13" s="5"/>
    </row>
    <row r="14" spans="2:12">
      <c r="B14" s="2"/>
      <c r="C14" s="3"/>
      <c r="D14" s="144">
        <f>D13/B5</f>
        <v>747</v>
      </c>
      <c r="E14" s="3"/>
      <c r="F14" s="4"/>
      <c r="G14" s="4"/>
      <c r="H14" s="4"/>
      <c r="I14" s="4"/>
      <c r="J14" s="4"/>
      <c r="K14" s="5"/>
    </row>
    <row r="15" spans="2:12">
      <c r="B15" s="150" t="s">
        <v>17</v>
      </c>
      <c r="C15" s="151"/>
      <c r="D15" s="151"/>
      <c r="E15" s="151"/>
      <c r="F15" s="151" t="s">
        <v>23</v>
      </c>
      <c r="G15" s="151"/>
      <c r="H15" s="151"/>
      <c r="I15" s="151"/>
      <c r="J15" s="151"/>
      <c r="K15" s="167"/>
    </row>
    <row r="16" spans="2:12">
      <c r="B16" s="29" t="s">
        <v>1</v>
      </c>
      <c r="C16" s="30" t="s">
        <v>18</v>
      </c>
      <c r="D16" s="30" t="s">
        <v>19</v>
      </c>
      <c r="E16" s="30" t="s">
        <v>20</v>
      </c>
      <c r="F16" s="30"/>
      <c r="G16" s="30"/>
      <c r="H16" s="30"/>
      <c r="I16" s="30"/>
      <c r="J16" s="30"/>
      <c r="K16" s="36"/>
    </row>
    <row r="17" spans="2:13">
      <c r="B17" s="152" t="s">
        <v>62</v>
      </c>
      <c r="C17" s="153"/>
      <c r="D17" s="153"/>
      <c r="E17" s="153"/>
      <c r="F17" s="59" t="s">
        <v>61</v>
      </c>
      <c r="G17" s="51"/>
      <c r="H17" s="132"/>
      <c r="I17" s="133" t="s">
        <v>53</v>
      </c>
      <c r="J17" s="133"/>
      <c r="K17" s="134">
        <f>E38*0.05</f>
        <v>11814.6</v>
      </c>
    </row>
    <row r="18" spans="2:13">
      <c r="B18" s="41"/>
      <c r="C18" s="7"/>
      <c r="D18" s="42"/>
      <c r="E18" s="42"/>
      <c r="F18" s="7"/>
      <c r="G18" s="52"/>
      <c r="H18" s="132"/>
      <c r="I18" s="133"/>
      <c r="J18" s="133"/>
      <c r="K18" s="135"/>
    </row>
    <row r="19" spans="2:13">
      <c r="B19" s="41">
        <v>7</v>
      </c>
      <c r="C19" s="7" t="s">
        <v>97</v>
      </c>
      <c r="D19" s="42">
        <v>2300</v>
      </c>
      <c r="E19" s="42">
        <f>+D19*B19</f>
        <v>16100</v>
      </c>
      <c r="F19" s="143"/>
      <c r="G19" s="52" t="s">
        <v>93</v>
      </c>
      <c r="H19" s="132">
        <v>2400</v>
      </c>
      <c r="I19" s="133" t="s">
        <v>54</v>
      </c>
      <c r="J19" s="133"/>
      <c r="K19" s="135">
        <v>125</v>
      </c>
    </row>
    <row r="20" spans="2:13">
      <c r="B20" s="41">
        <v>1</v>
      </c>
      <c r="C20" s="7" t="s">
        <v>101</v>
      </c>
      <c r="D20" s="42">
        <v>1650</v>
      </c>
      <c r="E20" s="42">
        <f>+D20*B20</f>
        <v>1650</v>
      </c>
      <c r="F20" s="7"/>
      <c r="G20" s="52" t="s">
        <v>92</v>
      </c>
      <c r="H20" s="132">
        <f>50*12*B5</f>
        <v>4800</v>
      </c>
      <c r="I20" s="136" t="s">
        <v>89</v>
      </c>
      <c r="J20" s="133"/>
      <c r="K20" s="135">
        <v>5000</v>
      </c>
    </row>
    <row r="21" spans="2:13">
      <c r="B21" s="41">
        <v>1</v>
      </c>
      <c r="C21" s="7" t="s">
        <v>102</v>
      </c>
      <c r="D21" s="42">
        <v>1400</v>
      </c>
      <c r="E21" s="42">
        <f>+D21*B21</f>
        <v>1400</v>
      </c>
      <c r="F21" s="15" t="s">
        <v>104</v>
      </c>
      <c r="G21" s="52" t="s">
        <v>21</v>
      </c>
      <c r="H21" s="132">
        <f>40*12</f>
        <v>480</v>
      </c>
      <c r="I21" s="133" t="s">
        <v>58</v>
      </c>
      <c r="J21" s="133"/>
      <c r="K21" s="135"/>
    </row>
    <row r="22" spans="2:13">
      <c r="B22" s="41">
        <v>4</v>
      </c>
      <c r="C22" s="7" t="s">
        <v>96</v>
      </c>
      <c r="D22" s="42">
        <v>237.5</v>
      </c>
      <c r="E22" s="42">
        <f>+D22*B22</f>
        <v>950</v>
      </c>
      <c r="F22" s="4"/>
      <c r="G22" s="52"/>
      <c r="H22" s="132"/>
      <c r="I22" s="133" t="s">
        <v>55</v>
      </c>
      <c r="J22" s="133"/>
      <c r="K22" s="135"/>
    </row>
    <row r="23" spans="2:13">
      <c r="B23" s="2" t="s">
        <v>95</v>
      </c>
      <c r="C23" s="6"/>
      <c r="D23" s="6"/>
      <c r="E23" s="44">
        <v>200</v>
      </c>
      <c r="F23" s="70"/>
      <c r="G23" s="52" t="s">
        <v>22</v>
      </c>
      <c r="H23" s="132">
        <f>8*B5*12</f>
        <v>768</v>
      </c>
      <c r="I23" s="133" t="s">
        <v>56</v>
      </c>
      <c r="J23" s="133"/>
      <c r="K23" s="135">
        <f>B5*300</f>
        <v>2400</v>
      </c>
    </row>
    <row r="24" spans="2:13">
      <c r="B24" s="17" t="s">
        <v>24</v>
      </c>
      <c r="C24" s="13"/>
      <c r="D24" s="13"/>
      <c r="E24" s="18">
        <f>SUM(E18:E23)</f>
        <v>20300</v>
      </c>
      <c r="F24" s="4"/>
      <c r="G24" s="52" t="s">
        <v>94</v>
      </c>
      <c r="H24" s="132">
        <f>+B5*650</f>
        <v>5200</v>
      </c>
      <c r="I24" s="133" t="s">
        <v>57</v>
      </c>
      <c r="J24" s="133"/>
      <c r="K24" s="135">
        <f>B9*0.0123</f>
        <v>39962.699999999997</v>
      </c>
    </row>
    <row r="25" spans="2:13">
      <c r="B25" s="2"/>
      <c r="C25" s="4"/>
      <c r="D25" s="4"/>
      <c r="E25" s="4"/>
      <c r="F25" s="4"/>
      <c r="G25" s="2"/>
      <c r="H25" s="7"/>
      <c r="I25" s="4"/>
      <c r="J25" s="4"/>
      <c r="K25" s="5" t="s">
        <v>42</v>
      </c>
    </row>
    <row r="26" spans="2:13">
      <c r="B26" s="152" t="s">
        <v>59</v>
      </c>
      <c r="C26" s="153"/>
      <c r="D26" s="153"/>
      <c r="E26" s="153"/>
      <c r="F26" s="4"/>
      <c r="G26" s="17" t="s">
        <v>44</v>
      </c>
      <c r="H26" s="15"/>
      <c r="I26" s="15"/>
      <c r="J26" s="15"/>
      <c r="K26" s="58">
        <f>SUM(H17:H24)+SUM(K17:K24)</f>
        <v>72950.299999999988</v>
      </c>
      <c r="M26" s="57" t="s">
        <v>42</v>
      </c>
    </row>
    <row r="27" spans="2:13">
      <c r="F27" s="4"/>
      <c r="G27" s="12"/>
      <c r="H27" s="15"/>
      <c r="I27" s="15"/>
      <c r="J27" s="15"/>
      <c r="K27" s="54"/>
    </row>
    <row r="28" spans="2:13">
      <c r="B28" s="41">
        <v>7</v>
      </c>
      <c r="C28" s="7" t="s">
        <v>97</v>
      </c>
      <c r="D28" s="42">
        <v>2495</v>
      </c>
      <c r="E28" s="42">
        <f>+D28*B28</f>
        <v>17465</v>
      </c>
      <c r="F28" s="7"/>
      <c r="G28" s="17" t="s">
        <v>25</v>
      </c>
      <c r="H28" s="15"/>
      <c r="I28" s="19" t="s">
        <v>26</v>
      </c>
      <c r="J28" s="15"/>
      <c r="K28" s="10">
        <f>K26/B5</f>
        <v>9118.7874999999985</v>
      </c>
    </row>
    <row r="29" spans="2:13">
      <c r="B29" s="41">
        <v>1</v>
      </c>
      <c r="C29" s="7" t="s">
        <v>101</v>
      </c>
      <c r="D29" s="42">
        <v>1795</v>
      </c>
      <c r="E29" s="42">
        <f>+D29*B29</f>
        <v>1795</v>
      </c>
      <c r="F29" s="7"/>
      <c r="G29" s="12"/>
      <c r="H29" s="15"/>
      <c r="I29" s="19" t="s">
        <v>51</v>
      </c>
      <c r="J29" s="15"/>
      <c r="K29" s="45">
        <f>K26/E36</f>
        <v>0.29946756978653527</v>
      </c>
    </row>
    <row r="30" spans="2:13">
      <c r="B30" s="41">
        <v>1</v>
      </c>
      <c r="C30" s="7" t="s">
        <v>102</v>
      </c>
      <c r="D30" s="42">
        <v>1450</v>
      </c>
      <c r="E30" s="42">
        <f>+D30*B30</f>
        <v>1450</v>
      </c>
      <c r="F30" s="15" t="s">
        <v>104</v>
      </c>
      <c r="G30" s="2"/>
      <c r="H30" s="4"/>
      <c r="I30" s="19" t="s">
        <v>105</v>
      </c>
      <c r="J30" s="15"/>
      <c r="K30" s="45">
        <f>K26/F36</f>
        <v>0.27495213327302875</v>
      </c>
    </row>
    <row r="31" spans="2:13">
      <c r="B31" s="41">
        <v>4</v>
      </c>
      <c r="C31" s="7" t="s">
        <v>96</v>
      </c>
      <c r="D31" s="42">
        <v>300</v>
      </c>
      <c r="E31" s="42">
        <f>+D31*B31</f>
        <v>1200</v>
      </c>
      <c r="F31" s="4"/>
      <c r="G31" s="2"/>
      <c r="H31" s="4"/>
      <c r="I31" s="4"/>
      <c r="J31" s="4"/>
      <c r="K31" s="5"/>
    </row>
    <row r="32" spans="2:13">
      <c r="B32" s="2" t="s">
        <v>95</v>
      </c>
      <c r="C32" s="6"/>
      <c r="D32" s="6"/>
      <c r="E32" s="44">
        <v>200</v>
      </c>
      <c r="F32" s="4"/>
      <c r="G32" s="2"/>
      <c r="H32" s="4"/>
      <c r="I32" s="4"/>
      <c r="J32" s="4"/>
      <c r="K32" s="5"/>
    </row>
    <row r="33" spans="2:11">
      <c r="B33" s="17" t="s">
        <v>24</v>
      </c>
      <c r="C33" s="3"/>
      <c r="D33" s="3"/>
      <c r="E33" s="18">
        <f>SUM(E28:E32)</f>
        <v>22110</v>
      </c>
      <c r="F33" s="15"/>
      <c r="G33" s="53"/>
      <c r="H33" s="4"/>
      <c r="I33" s="4"/>
      <c r="J33" s="4"/>
      <c r="K33" s="5"/>
    </row>
    <row r="34" spans="2:11">
      <c r="B34" s="37" t="s">
        <v>27</v>
      </c>
      <c r="C34" s="38"/>
      <c r="D34" s="38"/>
      <c r="E34" s="38"/>
      <c r="F34" s="38"/>
      <c r="G34" s="38"/>
      <c r="H34" s="39" t="s">
        <v>28</v>
      </c>
      <c r="I34" s="38"/>
      <c r="J34" s="38"/>
      <c r="K34" s="40"/>
    </row>
    <row r="35" spans="2:11">
      <c r="B35" s="12"/>
      <c r="C35" s="13"/>
      <c r="D35" s="13"/>
      <c r="E35" s="16" t="s">
        <v>52</v>
      </c>
      <c r="F35" s="20" t="s">
        <v>16</v>
      </c>
      <c r="G35" s="55"/>
      <c r="H35" s="15"/>
      <c r="I35" s="15"/>
      <c r="J35" s="15"/>
      <c r="K35" s="14"/>
    </row>
    <row r="36" spans="2:11">
      <c r="B36" s="12" t="s">
        <v>29</v>
      </c>
      <c r="C36" s="13"/>
      <c r="D36" s="13"/>
      <c r="E36" s="46">
        <f>+E24*12</f>
        <v>243600</v>
      </c>
      <c r="F36" s="22">
        <f>+E33*12</f>
        <v>265320</v>
      </c>
      <c r="G36" s="12"/>
      <c r="H36" s="19" t="s">
        <v>36</v>
      </c>
      <c r="I36" s="15"/>
      <c r="J36" s="15"/>
      <c r="K36" s="10">
        <v>1100000</v>
      </c>
    </row>
    <row r="37" spans="2:11">
      <c r="B37" s="12" t="s">
        <v>40</v>
      </c>
      <c r="C37" s="13"/>
      <c r="D37" s="23">
        <v>0.03</v>
      </c>
      <c r="E37" s="21">
        <f>+E36*D37</f>
        <v>7308</v>
      </c>
      <c r="F37" s="21">
        <f>F36*D37</f>
        <v>7959.5999999999995</v>
      </c>
      <c r="G37" s="12"/>
      <c r="H37" s="15"/>
      <c r="I37" s="15"/>
      <c r="J37" s="15"/>
      <c r="K37" s="45">
        <f>+K36/B9</f>
        <v>0.33856571252693135</v>
      </c>
    </row>
    <row r="38" spans="2:11">
      <c r="B38" s="12" t="s">
        <v>30</v>
      </c>
      <c r="C38" s="13"/>
      <c r="D38" s="13"/>
      <c r="E38" s="21">
        <f>E36-E37</f>
        <v>236292</v>
      </c>
      <c r="F38" s="21">
        <f>F36-F37</f>
        <v>257360.4</v>
      </c>
      <c r="G38" s="12"/>
      <c r="H38" s="43" t="s">
        <v>41</v>
      </c>
      <c r="I38" s="15"/>
      <c r="J38" s="56">
        <v>3.5000000000000003E-2</v>
      </c>
      <c r="K38" s="11"/>
    </row>
    <row r="39" spans="2:11">
      <c r="B39" s="12" t="s">
        <v>31</v>
      </c>
      <c r="C39" s="13"/>
      <c r="D39" s="23">
        <f>K29</f>
        <v>0.29946756978653527</v>
      </c>
      <c r="E39" s="21">
        <f>K26</f>
        <v>72950.299999999988</v>
      </c>
      <c r="F39" s="21">
        <f>K26</f>
        <v>72950.299999999988</v>
      </c>
      <c r="G39" s="12"/>
      <c r="H39" s="43" t="s">
        <v>45</v>
      </c>
      <c r="I39" s="4"/>
      <c r="J39" s="49">
        <v>30</v>
      </c>
      <c r="K39" s="50" t="s">
        <v>46</v>
      </c>
    </row>
    <row r="40" spans="2:11">
      <c r="B40" s="12" t="s">
        <v>32</v>
      </c>
      <c r="C40" s="13"/>
      <c r="D40" s="13"/>
      <c r="E40" s="21">
        <f>E38-E39</f>
        <v>163341.70000000001</v>
      </c>
      <c r="F40" s="21">
        <f>F38-F39</f>
        <v>184410.1</v>
      </c>
      <c r="G40" s="12"/>
      <c r="H40" s="19" t="s">
        <v>47</v>
      </c>
      <c r="I40" s="15"/>
      <c r="J40" s="15"/>
      <c r="K40" s="10">
        <f>B9-K36</f>
        <v>2149000</v>
      </c>
    </row>
    <row r="41" spans="2:11">
      <c r="B41" s="12"/>
      <c r="C41" s="13"/>
      <c r="D41" s="13"/>
      <c r="E41" s="15"/>
      <c r="F41" s="15"/>
      <c r="G41" s="12"/>
      <c r="H41" s="15"/>
      <c r="I41" s="15"/>
      <c r="J41" s="15"/>
      <c r="K41" s="14"/>
    </row>
    <row r="42" spans="2:11">
      <c r="B42" s="12" t="s">
        <v>33</v>
      </c>
      <c r="C42" s="13"/>
      <c r="D42" s="13"/>
      <c r="E42" s="24">
        <f>PMT(J38/12,J39*12,K40,0,0)*12</f>
        <v>-115799.64409213966</v>
      </c>
      <c r="F42" s="24">
        <f>PMT(J38/12,30*12,K40,0,0)*12</f>
        <v>-115799.64409213966</v>
      </c>
      <c r="G42" s="12"/>
      <c r="H42" s="43" t="s">
        <v>48</v>
      </c>
      <c r="I42" s="4"/>
      <c r="J42" s="15"/>
      <c r="K42" s="14"/>
    </row>
    <row r="43" spans="2:11">
      <c r="B43" s="12"/>
      <c r="C43" s="13"/>
      <c r="D43" s="13"/>
      <c r="E43" s="15"/>
      <c r="F43" s="15"/>
      <c r="G43" s="12"/>
      <c r="H43" s="15" t="s">
        <v>49</v>
      </c>
      <c r="I43" s="48">
        <f>+E40/E42*-1</f>
        <v>1.4105544216529027</v>
      </c>
      <c r="J43" s="4"/>
      <c r="K43" s="5"/>
    </row>
    <row r="44" spans="2:11">
      <c r="B44" s="12" t="s">
        <v>34</v>
      </c>
      <c r="C44" s="13"/>
      <c r="D44" s="13"/>
      <c r="E44" s="139">
        <f>E40+E42</f>
        <v>47542.055907860355</v>
      </c>
      <c r="F44" s="139">
        <f>F40+F42</f>
        <v>68610.455907860349</v>
      </c>
      <c r="G44" s="12"/>
      <c r="H44" s="15" t="s">
        <v>50</v>
      </c>
      <c r="I44" s="48">
        <f>+F40/F42*-1</f>
        <v>1.5924928046693154</v>
      </c>
      <c r="J44" s="15"/>
      <c r="K44" s="14"/>
    </row>
    <row r="45" spans="2:11">
      <c r="B45" s="12" t="s">
        <v>35</v>
      </c>
      <c r="C45" s="13"/>
      <c r="D45" s="13"/>
      <c r="E45" s="140">
        <f>E44/K36</f>
        <v>4.3220050825327594E-2</v>
      </c>
      <c r="F45" s="140">
        <f>F44/K36</f>
        <v>6.2373141734418498E-2</v>
      </c>
      <c r="G45" s="12"/>
      <c r="H45" s="4"/>
      <c r="I45" s="4"/>
      <c r="J45" s="15"/>
      <c r="K45" s="14"/>
    </row>
    <row r="46" spans="2:11">
      <c r="B46" s="2" t="s">
        <v>43</v>
      </c>
      <c r="C46" s="4"/>
      <c r="D46" s="4"/>
      <c r="E46" s="141">
        <f>(-PPMT(J38/12,1,J39*12,K40,0,0)+(-PPMT(J38/12,2,J39*12,K40,0,0)+(-PPMT(J38/12,3,J39*12,K40,0,0)+(-PPMT(J38/12,4,J39*12,K40,0,0)+(-PPMT(J38/12,5,J39*12,K40,0,0)+(-PPMT(J38/12,6,J39*12,K40,0,0)+(-PPMT(J38/12,7,J39*12,K40,0,0)+(-PPMT(J38/12,8,J39*12,K40,0,0)+(-PPMT(J38/12,9,J39*12,K40,0,0)+(-PPMT(J38/12,10,J39*12,K40,0,0)+(-PPMT(J38/12,11,J39*12,K40,0,0)+(-PPMT(J38/12,12,J39*12,K40,0,0)))))))))))))</f>
        <v>41242.060764402566</v>
      </c>
      <c r="F46" s="141">
        <f>(-PPMT(J38/12,1,J39*12,K40,0,0)+(-PPMT(J38/12,2,J39*12,K40,0,0)+(-PPMT(J38/12,3,J39*12,K40,0,0)+(-PPMT(J38/12,4,J39*12,K40,0,0)+(-PPMT(J38/12,5,J39*12,K40,0,0)+(-PPMT(J38/12,6,J39*12,K40,0,0)+(-PPMT(J38/12,7,J39*12,K40,0,0)+(-PPMT(J38/12,8,J39*12,K40,0,0)+(-PPMT(J38/12,9,J39*12,K40,0,0)+(-PPMT(J38/12,10,J39*12,K40,0,0)+(-PPMT(J38/12,11,J39*12,K40,0,0)+(-PPMT(J38/12,12,J39*12,K40,0,0)))))))))))))</f>
        <v>41242.060764402566</v>
      </c>
      <c r="G46" s="12"/>
      <c r="H46" s="15"/>
      <c r="I46" s="15"/>
      <c r="J46" s="15"/>
      <c r="K46" s="14"/>
    </row>
    <row r="47" spans="2:11">
      <c r="B47" s="12" t="s">
        <v>60</v>
      </c>
      <c r="C47" s="4"/>
      <c r="D47" s="13"/>
      <c r="E47" s="142">
        <f>+(+E44+E46)/K36</f>
        <v>8.0712833338420845E-2</v>
      </c>
      <c r="F47" s="142">
        <f>+(+F44+F46)/K36</f>
        <v>9.9865924247511742E-2</v>
      </c>
      <c r="G47" s="12"/>
      <c r="H47" s="15"/>
      <c r="I47" s="15"/>
      <c r="J47" s="15"/>
      <c r="K47" s="14"/>
    </row>
    <row r="48" spans="2:11">
      <c r="B48" s="160" t="s">
        <v>37</v>
      </c>
      <c r="C48" s="161"/>
      <c r="D48" s="161"/>
      <c r="E48" s="161"/>
      <c r="F48" s="161"/>
      <c r="G48" s="161"/>
      <c r="H48" s="161"/>
      <c r="I48" s="161"/>
      <c r="J48" s="161"/>
      <c r="K48" s="162"/>
    </row>
    <row r="49" spans="2:11">
      <c r="B49" s="12"/>
      <c r="C49" s="13"/>
      <c r="D49" s="13"/>
      <c r="E49" s="13"/>
      <c r="F49" s="15"/>
      <c r="G49" s="15"/>
      <c r="H49" s="15"/>
      <c r="I49" s="15"/>
      <c r="J49" s="15"/>
      <c r="K49" s="14"/>
    </row>
    <row r="50" spans="2:11">
      <c r="B50" s="12"/>
      <c r="C50" s="13"/>
      <c r="D50" s="13"/>
      <c r="E50" s="13"/>
      <c r="F50" s="15"/>
      <c r="G50" s="15"/>
      <c r="H50" s="15"/>
      <c r="I50" s="15"/>
      <c r="J50" s="15"/>
      <c r="K50" s="14"/>
    </row>
    <row r="51" spans="2:11">
      <c r="B51" s="12"/>
      <c r="C51" s="13"/>
      <c r="D51" s="13"/>
      <c r="E51" s="137"/>
      <c r="F51" s="4"/>
      <c r="G51" s="15"/>
      <c r="H51" s="15"/>
      <c r="I51" s="15"/>
      <c r="J51" s="15"/>
      <c r="K51" s="14"/>
    </row>
    <row r="52" spans="2:11">
      <c r="B52" s="17" t="s">
        <v>42</v>
      </c>
      <c r="C52" s="13"/>
      <c r="D52" s="13"/>
      <c r="E52" s="137" t="s">
        <v>91</v>
      </c>
      <c r="F52" s="4"/>
      <c r="G52" s="4"/>
      <c r="H52" s="4"/>
      <c r="I52" s="4"/>
      <c r="J52" s="15"/>
      <c r="K52" s="14"/>
    </row>
    <row r="53" spans="2:11">
      <c r="B53" s="53"/>
      <c r="C53" s="130"/>
      <c r="D53" s="146" t="s">
        <v>98</v>
      </c>
      <c r="E53" s="146"/>
      <c r="F53" s="146"/>
      <c r="G53" s="146"/>
      <c r="H53" s="146"/>
      <c r="I53" s="146"/>
      <c r="J53" s="146"/>
      <c r="K53" s="131"/>
    </row>
    <row r="54" spans="2:11">
      <c r="B54" s="154" t="s">
        <v>87</v>
      </c>
      <c r="C54" s="155"/>
      <c r="D54" s="155"/>
      <c r="E54" s="155"/>
      <c r="F54" s="155"/>
      <c r="G54" s="155"/>
      <c r="H54" s="155"/>
      <c r="I54" s="155"/>
      <c r="J54" s="155"/>
      <c r="K54" s="156"/>
    </row>
    <row r="55" spans="2:11">
      <c r="B55" s="157" t="s">
        <v>38</v>
      </c>
      <c r="C55" s="158"/>
      <c r="D55" s="158"/>
      <c r="E55" s="158"/>
      <c r="F55" s="158"/>
      <c r="G55" s="158"/>
      <c r="H55" s="158"/>
      <c r="I55" s="158"/>
      <c r="J55" s="158"/>
      <c r="K55" s="159"/>
    </row>
    <row r="56" spans="2:11">
      <c r="B56" s="157" t="s">
        <v>39</v>
      </c>
      <c r="C56" s="158"/>
      <c r="D56" s="158"/>
      <c r="E56" s="158"/>
      <c r="F56" s="158"/>
      <c r="G56" s="158"/>
      <c r="H56" s="158"/>
      <c r="I56" s="158"/>
      <c r="J56" s="158"/>
      <c r="K56" s="159"/>
    </row>
    <row r="57" spans="2:11">
      <c r="B57" s="147" t="s">
        <v>90</v>
      </c>
      <c r="C57" s="148"/>
      <c r="D57" s="148"/>
      <c r="E57" s="148"/>
      <c r="F57" s="148"/>
      <c r="G57" s="148"/>
      <c r="H57" s="148"/>
      <c r="I57" s="148"/>
      <c r="J57" s="148"/>
      <c r="K57" s="149"/>
    </row>
    <row r="58" spans="2:11" s="123" customFormat="1">
      <c r="B58" s="127"/>
      <c r="C58" s="127"/>
      <c r="D58" s="127"/>
      <c r="E58" s="127"/>
      <c r="F58" s="127"/>
      <c r="G58" s="127"/>
      <c r="H58" s="127"/>
      <c r="I58" s="127"/>
      <c r="J58" s="127"/>
      <c r="K58" s="127"/>
    </row>
    <row r="59" spans="2:11" s="123" customFormat="1">
      <c r="B59" s="127"/>
      <c r="C59" s="127"/>
      <c r="D59" s="127"/>
      <c r="E59" s="127"/>
      <c r="F59" s="127"/>
      <c r="G59" s="127"/>
      <c r="H59" s="127"/>
      <c r="I59" s="127"/>
      <c r="J59" s="127"/>
      <c r="K59" s="127"/>
    </row>
    <row r="60" spans="2:11" s="123" customFormat="1"/>
    <row r="61" spans="2:11" s="123" customFormat="1"/>
    <row r="62" spans="2:11" s="123" customFormat="1"/>
    <row r="119" spans="2:11">
      <c r="B119" s="1"/>
      <c r="C119" s="1"/>
      <c r="D119" s="1"/>
      <c r="E119" s="1"/>
      <c r="F119" s="1"/>
      <c r="G119" s="1"/>
      <c r="H119" s="1"/>
      <c r="I119" s="1"/>
      <c r="J119" s="1"/>
      <c r="K119" s="1"/>
    </row>
  </sheetData>
  <mergeCells count="26">
    <mergeCell ref="I13:J13"/>
    <mergeCell ref="J4:K4"/>
    <mergeCell ref="B9:C9"/>
    <mergeCell ref="D4:E4"/>
    <mergeCell ref="F4:G4"/>
    <mergeCell ref="F5:G5"/>
    <mergeCell ref="D7:E7"/>
    <mergeCell ref="F7:G7"/>
    <mergeCell ref="I7:J8"/>
    <mergeCell ref="B7:C8"/>
    <mergeCell ref="B2:K2"/>
    <mergeCell ref="D53:J53"/>
    <mergeCell ref="B57:K57"/>
    <mergeCell ref="B15:E15"/>
    <mergeCell ref="B26:E26"/>
    <mergeCell ref="B17:E17"/>
    <mergeCell ref="B54:K54"/>
    <mergeCell ref="B55:K55"/>
    <mergeCell ref="B56:K56"/>
    <mergeCell ref="B48:K48"/>
    <mergeCell ref="D5:E5"/>
    <mergeCell ref="B11:C11"/>
    <mergeCell ref="I9:J9"/>
    <mergeCell ref="F15:K15"/>
    <mergeCell ref="I11:J11"/>
    <mergeCell ref="I12:J12"/>
  </mergeCells>
  <phoneticPr fontId="0" type="noConversion"/>
  <printOptions horizontalCentered="1" verticalCentered="1"/>
  <pageMargins left="0.1" right="0.1" top="0.25" bottom="0.25" header="0.36" footer="0.5"/>
  <pageSetup scale="83" orientation="portrait" horizontalDpi="300" verticalDpi="300"/>
  <headerFooter alignWithMargins="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6"/>
  <sheetViews>
    <sheetView view="pageLayout" topLeftCell="A10" zoomScaleNormal="100" workbookViewId="0">
      <selection activeCell="C3" sqref="C3"/>
    </sheetView>
  </sheetViews>
  <sheetFormatPr baseColWidth="10" defaultColWidth="8.83203125" defaultRowHeight="13"/>
  <cols>
    <col min="1" max="1" width="5.6640625" customWidth="1"/>
    <col min="2" max="7" width="8.83203125" customWidth="1"/>
    <col min="8" max="8" width="11.33203125" customWidth="1"/>
    <col min="9" max="11" width="8.83203125" customWidth="1"/>
    <col min="12" max="12" width="11.33203125" customWidth="1"/>
    <col min="13" max="13" width="8.83203125" customWidth="1"/>
    <col min="14" max="14" width="5.33203125" customWidth="1"/>
  </cols>
  <sheetData>
    <row r="1" spans="1:17" s="123" customFormat="1" ht="60" customHeight="1"/>
    <row r="2" spans="1:17" ht="19" thickBot="1">
      <c r="A2" s="4"/>
      <c r="B2" s="63"/>
      <c r="C2" s="64" t="s">
        <v>88</v>
      </c>
      <c r="D2" s="63"/>
      <c r="E2" s="65"/>
      <c r="F2" s="65"/>
      <c r="G2" s="65"/>
      <c r="H2" s="65"/>
      <c r="I2" s="65"/>
      <c r="J2" s="65"/>
      <c r="K2" s="65"/>
      <c r="L2" s="65"/>
      <c r="M2" s="66"/>
    </row>
    <row r="3" spans="1:17" ht="14">
      <c r="A3" s="4"/>
      <c r="B3" s="4"/>
      <c r="C3" s="4"/>
      <c r="D3" s="4"/>
      <c r="E3" s="4"/>
      <c r="F3" s="4"/>
      <c r="G3" s="4"/>
      <c r="H3" s="4"/>
      <c r="I3" s="4"/>
      <c r="J3" s="4"/>
      <c r="K3" s="4"/>
      <c r="L3" s="4"/>
      <c r="M3" s="67"/>
    </row>
    <row r="4" spans="1:17" ht="14">
      <c r="A4" s="4"/>
      <c r="M4" s="67"/>
    </row>
    <row r="5" spans="1:17" ht="14">
      <c r="A5" s="4"/>
      <c r="M5" s="67"/>
    </row>
    <row r="6" spans="1:17" ht="15" thickBot="1">
      <c r="A6" s="4"/>
      <c r="B6" s="4"/>
      <c r="C6" s="68" t="s">
        <v>63</v>
      </c>
      <c r="D6" s="65"/>
      <c r="E6" s="65"/>
      <c r="F6" s="4"/>
      <c r="G6" s="4"/>
      <c r="H6" s="49" t="s">
        <v>15</v>
      </c>
      <c r="I6" s="4"/>
      <c r="J6" s="4"/>
      <c r="K6" s="4"/>
      <c r="L6" s="49" t="s">
        <v>16</v>
      </c>
      <c r="M6" s="67"/>
    </row>
    <row r="7" spans="1:17">
      <c r="A7" s="4"/>
      <c r="B7" s="4"/>
      <c r="C7" s="4"/>
      <c r="D7" s="4"/>
      <c r="E7" s="4"/>
      <c r="F7" s="4" t="s">
        <v>42</v>
      </c>
      <c r="G7" s="4"/>
      <c r="H7" s="69" t="s">
        <v>64</v>
      </c>
      <c r="I7" s="4"/>
      <c r="J7" s="4" t="s">
        <v>42</v>
      </c>
      <c r="K7" s="4"/>
      <c r="L7" s="69" t="s">
        <v>64</v>
      </c>
      <c r="M7" s="12"/>
      <c r="N7" s="13"/>
      <c r="O7" s="13"/>
      <c r="P7" s="46"/>
      <c r="Q7" s="22"/>
    </row>
    <row r="8" spans="1:17">
      <c r="A8" s="4"/>
      <c r="B8" s="4"/>
      <c r="C8" s="12" t="s">
        <v>29</v>
      </c>
      <c r="D8" s="4"/>
      <c r="E8" s="4"/>
      <c r="F8" s="4"/>
      <c r="G8" s="4"/>
      <c r="H8" s="71">
        <f>'Cash Flow Analysis'!E36</f>
        <v>243600</v>
      </c>
      <c r="I8" s="4"/>
      <c r="J8" s="4"/>
      <c r="K8" s="4"/>
      <c r="L8" s="71">
        <f>'Cash Flow Analysis'!F36</f>
        <v>265320</v>
      </c>
      <c r="M8" s="12"/>
      <c r="N8" s="13"/>
      <c r="O8" s="23"/>
      <c r="P8" s="21"/>
      <c r="Q8" s="21"/>
    </row>
    <row r="9" spans="1:17">
      <c r="A9" s="4"/>
      <c r="B9" s="4"/>
      <c r="C9" s="12" t="s">
        <v>40</v>
      </c>
      <c r="D9" s="4"/>
      <c r="E9" s="72">
        <f>'Cash Flow Analysis'!D37</f>
        <v>0.03</v>
      </c>
      <c r="F9" s="4"/>
      <c r="G9" s="4"/>
      <c r="H9" s="73">
        <f>+H8*E9</f>
        <v>7308</v>
      </c>
      <c r="I9" s="4"/>
      <c r="J9" s="4"/>
      <c r="K9" s="4"/>
      <c r="L9" s="73">
        <f>'Cash Flow Analysis'!F37</f>
        <v>7959.5999999999995</v>
      </c>
      <c r="M9" s="12"/>
      <c r="N9" s="13"/>
      <c r="O9" s="13"/>
      <c r="P9" s="21"/>
      <c r="Q9" s="21"/>
    </row>
    <row r="10" spans="1:17">
      <c r="A10" s="4"/>
      <c r="B10" s="4"/>
      <c r="C10" s="12" t="s">
        <v>30</v>
      </c>
      <c r="D10" s="4"/>
      <c r="E10" s="4"/>
      <c r="F10" s="4"/>
      <c r="G10" s="4"/>
      <c r="H10" s="70">
        <f>'Cash Flow Analysis'!E38</f>
        <v>236292</v>
      </c>
      <c r="I10" s="4"/>
      <c r="J10" s="4"/>
      <c r="K10" s="4"/>
      <c r="L10" s="70">
        <f>'Cash Flow Analysis'!F38</f>
        <v>257360.4</v>
      </c>
      <c r="M10" s="12"/>
      <c r="N10" s="13"/>
      <c r="O10" s="23"/>
      <c r="P10" s="21"/>
      <c r="Q10" s="21"/>
    </row>
    <row r="11" spans="1:17">
      <c r="A11" s="4"/>
      <c r="B11" s="4"/>
      <c r="C11" s="12" t="s">
        <v>31</v>
      </c>
      <c r="D11" s="4"/>
      <c r="E11" s="4"/>
      <c r="F11" s="4"/>
      <c r="G11" s="4"/>
      <c r="H11" s="74">
        <f>'Cash Flow Analysis'!E39</f>
        <v>72950.299999999988</v>
      </c>
      <c r="I11" s="4"/>
      <c r="J11" s="4"/>
      <c r="K11" s="4"/>
      <c r="L11" s="74">
        <f>'Cash Flow Analysis'!F39</f>
        <v>72950.299999999988</v>
      </c>
      <c r="M11" s="12"/>
      <c r="N11" s="13"/>
      <c r="O11" s="13"/>
      <c r="P11" s="21"/>
      <c r="Q11" s="21"/>
    </row>
    <row r="12" spans="1:17" ht="15" thickBot="1">
      <c r="A12" s="4"/>
      <c r="B12" s="4"/>
      <c r="C12" s="12" t="s">
        <v>32</v>
      </c>
      <c r="D12" s="4"/>
      <c r="E12" s="4"/>
      <c r="F12" s="4"/>
      <c r="G12" s="4"/>
      <c r="H12" s="87">
        <f>'Cash Flow Analysis'!E40</f>
        <v>163341.70000000001</v>
      </c>
      <c r="I12" s="4"/>
      <c r="J12" s="4"/>
      <c r="K12" s="4"/>
      <c r="L12" s="75">
        <f>'Cash Flow Analysis'!F40</f>
        <v>184410.1</v>
      </c>
      <c r="M12" s="67"/>
    </row>
    <row r="13" spans="1:17" ht="15" thickTop="1">
      <c r="A13" s="4"/>
      <c r="B13" s="4"/>
      <c r="C13" s="4"/>
      <c r="D13" s="4"/>
      <c r="E13" s="4"/>
      <c r="F13" s="4"/>
      <c r="G13" s="4"/>
      <c r="H13" s="4"/>
      <c r="I13" s="4"/>
      <c r="J13" s="4"/>
      <c r="K13" s="4"/>
      <c r="L13" s="4"/>
      <c r="M13" s="67"/>
    </row>
    <row r="14" spans="1:17" ht="15" thickBot="1">
      <c r="A14" s="4"/>
      <c r="B14" s="3"/>
      <c r="C14" s="68" t="s">
        <v>65</v>
      </c>
      <c r="D14" s="65"/>
      <c r="E14" s="65"/>
      <c r="F14" s="4"/>
      <c r="G14" s="4"/>
      <c r="H14" s="4"/>
      <c r="I14" s="4"/>
      <c r="J14" s="4"/>
      <c r="K14" s="4"/>
      <c r="L14" s="4"/>
      <c r="M14" s="67"/>
    </row>
    <row r="15" spans="1:17" ht="14">
      <c r="A15" s="4"/>
      <c r="B15" s="4"/>
      <c r="C15" s="4"/>
      <c r="D15" s="4"/>
      <c r="E15" s="4"/>
      <c r="F15" s="4"/>
      <c r="G15" s="3"/>
      <c r="H15" s="62" t="s">
        <v>66</v>
      </c>
      <c r="I15" s="3"/>
      <c r="J15" s="3"/>
      <c r="K15" s="3"/>
      <c r="L15" s="62" t="s">
        <v>67</v>
      </c>
      <c r="M15" s="67"/>
    </row>
    <row r="16" spans="1:17" ht="15" thickBot="1">
      <c r="A16" s="4"/>
      <c r="B16" s="4"/>
      <c r="C16" s="4"/>
      <c r="D16" s="4"/>
      <c r="E16" s="4"/>
      <c r="F16" s="4"/>
      <c r="G16" s="4"/>
      <c r="H16" s="49" t="s">
        <v>68</v>
      </c>
      <c r="I16" s="4"/>
      <c r="J16" s="4"/>
      <c r="K16" s="4"/>
      <c r="L16" s="49" t="s">
        <v>69</v>
      </c>
      <c r="M16" s="67"/>
    </row>
    <row r="17" spans="1:13" ht="15" thickBot="1">
      <c r="A17" s="4"/>
      <c r="B17" s="4"/>
      <c r="C17" s="4"/>
      <c r="D17" s="4"/>
      <c r="E17" s="4"/>
      <c r="F17" s="4"/>
      <c r="G17" s="4"/>
      <c r="H17" s="4"/>
      <c r="I17" s="76"/>
      <c r="J17" s="77" t="s">
        <v>70</v>
      </c>
      <c r="K17" s="78"/>
      <c r="L17" s="4"/>
      <c r="M17" s="67"/>
    </row>
    <row r="18" spans="1:13" ht="15" thickBot="1">
      <c r="A18" s="4"/>
      <c r="B18" s="4"/>
      <c r="C18" s="4"/>
      <c r="D18" s="4" t="s">
        <v>71</v>
      </c>
      <c r="E18" s="4"/>
      <c r="F18" s="4"/>
      <c r="G18" s="4"/>
      <c r="H18" s="70">
        <f>+J18*H8</f>
        <v>2131500</v>
      </c>
      <c r="I18" s="4"/>
      <c r="J18" s="48">
        <v>8.75</v>
      </c>
      <c r="K18" s="4"/>
      <c r="L18" s="70">
        <f>+J18*L8</f>
        <v>2321550</v>
      </c>
      <c r="M18" s="67"/>
    </row>
    <row r="19" spans="1:13" ht="15" thickBot="1">
      <c r="A19" s="4"/>
      <c r="B19" s="4"/>
      <c r="C19" s="4"/>
      <c r="D19" s="4" t="s">
        <v>72</v>
      </c>
      <c r="E19" s="4"/>
      <c r="F19" s="4"/>
      <c r="G19" s="4"/>
      <c r="H19" s="79">
        <f>+J19*H8</f>
        <v>2192400</v>
      </c>
      <c r="I19" s="80"/>
      <c r="J19" s="81">
        <v>9</v>
      </c>
      <c r="K19" s="80"/>
      <c r="L19" s="82">
        <f>+J19*L8</f>
        <v>2387880</v>
      </c>
      <c r="M19" s="67"/>
    </row>
    <row r="20" spans="1:13" ht="14">
      <c r="A20" s="4"/>
      <c r="B20" s="4"/>
      <c r="C20" s="4"/>
      <c r="D20" s="4" t="s">
        <v>73</v>
      </c>
      <c r="E20" s="4"/>
      <c r="F20" s="4"/>
      <c r="G20" s="4"/>
      <c r="H20" s="71">
        <f>+J20*H8</f>
        <v>2253300</v>
      </c>
      <c r="I20" s="3"/>
      <c r="J20" s="83">
        <v>9.25</v>
      </c>
      <c r="K20" s="3"/>
      <c r="L20" s="71">
        <f>+J20*L8</f>
        <v>2454210</v>
      </c>
      <c r="M20" s="84"/>
    </row>
    <row r="21" spans="1:13" ht="14">
      <c r="A21" s="4"/>
      <c r="B21" s="4"/>
      <c r="C21" s="4"/>
      <c r="D21" s="4" t="s">
        <v>74</v>
      </c>
      <c r="E21" s="4"/>
      <c r="F21" s="4"/>
      <c r="G21" s="4"/>
      <c r="H21" s="70">
        <f>+J21*H8</f>
        <v>2314200</v>
      </c>
      <c r="I21" s="4"/>
      <c r="J21" s="48">
        <v>9.5</v>
      </c>
      <c r="K21" s="4"/>
      <c r="L21" s="71">
        <f>+J21*L8</f>
        <v>2520540</v>
      </c>
      <c r="M21" s="67"/>
    </row>
    <row r="22" spans="1:13" ht="14">
      <c r="A22" s="4"/>
      <c r="B22" s="4"/>
      <c r="C22" s="4"/>
      <c r="D22" s="4"/>
      <c r="E22" s="4"/>
      <c r="F22" s="4"/>
      <c r="G22" s="4"/>
      <c r="H22" s="4"/>
      <c r="I22" s="4"/>
      <c r="J22" s="4"/>
      <c r="K22" s="4"/>
      <c r="L22" s="4"/>
      <c r="M22" s="67"/>
    </row>
    <row r="24" spans="1:13">
      <c r="C24" s="4" t="s">
        <v>75</v>
      </c>
      <c r="H24" s="70">
        <f>+L19</f>
        <v>2387880</v>
      </c>
      <c r="I24" s="57"/>
    </row>
    <row r="25" spans="1:13">
      <c r="C25" s="4" t="s">
        <v>76</v>
      </c>
      <c r="H25" s="70">
        <f>+H19</f>
        <v>2192400</v>
      </c>
    </row>
    <row r="27" spans="1:13">
      <c r="C27" s="43" t="s">
        <v>77</v>
      </c>
      <c r="D27" s="43"/>
      <c r="E27" s="43"/>
      <c r="F27" s="43"/>
      <c r="G27" s="43"/>
      <c r="H27" s="85">
        <f>+(+H24+H25)/2</f>
        <v>2290140</v>
      </c>
    </row>
    <row r="28" spans="1:13" ht="14">
      <c r="A28" s="4"/>
      <c r="B28" s="4"/>
      <c r="C28" s="4"/>
      <c r="D28" s="4"/>
      <c r="E28" s="4"/>
      <c r="F28" s="4"/>
      <c r="G28" s="4"/>
      <c r="I28" s="4"/>
      <c r="J28" s="4" t="s">
        <v>42</v>
      </c>
      <c r="K28" s="4"/>
      <c r="L28" s="4"/>
      <c r="M28" s="67"/>
    </row>
    <row r="29" spans="1:13" ht="14">
      <c r="A29" s="43" t="s">
        <v>78</v>
      </c>
      <c r="B29" s="4"/>
      <c r="C29" s="4"/>
      <c r="D29" s="4"/>
      <c r="E29" s="4"/>
      <c r="F29" s="4"/>
      <c r="G29" s="4"/>
      <c r="H29" s="4"/>
      <c r="I29" s="4"/>
      <c r="J29" s="4"/>
      <c r="K29" s="4"/>
      <c r="L29" s="4"/>
      <c r="M29" s="67"/>
    </row>
    <row r="30" spans="1:13" s="123" customFormat="1" ht="14">
      <c r="B30" s="121"/>
      <c r="C30" s="121"/>
      <c r="D30" s="121"/>
      <c r="E30" s="121"/>
      <c r="F30" s="121"/>
      <c r="G30" s="121"/>
      <c r="H30" s="121"/>
      <c r="I30" s="121"/>
      <c r="J30" s="121"/>
      <c r="K30" s="121"/>
      <c r="L30" s="121"/>
      <c r="M30" s="124"/>
    </row>
    <row r="31" spans="1:13" s="123" customFormat="1" ht="14">
      <c r="A31" s="121"/>
      <c r="B31" s="121"/>
      <c r="C31" s="121"/>
      <c r="D31" s="121"/>
      <c r="E31" s="121"/>
      <c r="F31" s="121"/>
      <c r="G31" s="121"/>
      <c r="H31" s="121"/>
      <c r="I31" s="121"/>
      <c r="J31" s="121"/>
      <c r="K31" s="121"/>
      <c r="L31" s="121"/>
      <c r="M31" s="124"/>
    </row>
    <row r="32" spans="1:13" s="123" customFormat="1" ht="14">
      <c r="A32" s="121"/>
      <c r="B32" s="121"/>
      <c r="C32" s="121"/>
      <c r="D32" s="121"/>
      <c r="E32" s="121"/>
      <c r="F32" s="121"/>
      <c r="G32" s="121"/>
      <c r="H32" s="121"/>
      <c r="I32" s="121"/>
      <c r="J32" s="121"/>
      <c r="K32" s="121"/>
      <c r="L32" s="121"/>
      <c r="M32" s="124"/>
    </row>
    <row r="33" spans="1:13" s="123" customFormat="1" ht="14">
      <c r="A33" s="121"/>
      <c r="B33" s="121"/>
      <c r="C33" s="121"/>
      <c r="D33" s="121"/>
      <c r="E33" s="121"/>
      <c r="F33" s="121"/>
      <c r="G33" s="121"/>
      <c r="H33" s="121"/>
      <c r="I33" s="121"/>
      <c r="J33" s="121"/>
      <c r="K33" s="121"/>
      <c r="L33" s="121"/>
      <c r="M33" s="124"/>
    </row>
    <row r="34" spans="1:13" ht="14">
      <c r="A34" s="4"/>
      <c r="B34" s="4"/>
      <c r="C34" s="4"/>
      <c r="D34" s="4"/>
      <c r="E34" s="4"/>
      <c r="F34" s="4"/>
      <c r="G34" s="4"/>
      <c r="H34" s="4"/>
      <c r="I34" s="4"/>
      <c r="J34" s="4"/>
      <c r="K34" s="4"/>
      <c r="L34" s="4"/>
      <c r="M34" s="67"/>
    </row>
    <row r="35" spans="1:13" ht="14">
      <c r="A35" s="67"/>
      <c r="B35" s="67"/>
      <c r="C35" s="67"/>
      <c r="D35" s="67"/>
      <c r="E35" s="67"/>
      <c r="F35" s="67"/>
      <c r="G35" s="67"/>
      <c r="H35" s="67"/>
      <c r="I35" s="67"/>
      <c r="J35" s="67"/>
      <c r="K35" s="67"/>
      <c r="L35" s="67"/>
      <c r="M35" s="67"/>
    </row>
    <row r="36" spans="1:13" ht="14">
      <c r="A36" s="67"/>
      <c r="B36" s="67"/>
      <c r="C36" s="67"/>
      <c r="D36" s="67"/>
      <c r="E36" s="67"/>
      <c r="F36" s="67"/>
      <c r="G36" s="67"/>
      <c r="H36" s="67"/>
      <c r="I36" s="67"/>
      <c r="J36" s="67"/>
      <c r="K36" s="67"/>
      <c r="L36" s="67"/>
      <c r="M36" s="67"/>
    </row>
    <row r="37" spans="1:13" ht="14">
      <c r="A37" s="86"/>
      <c r="B37" s="86"/>
      <c r="C37" s="86"/>
      <c r="D37" s="86"/>
      <c r="E37" s="86"/>
      <c r="F37" s="86"/>
      <c r="G37" s="86"/>
      <c r="H37" s="86"/>
      <c r="I37" s="86"/>
      <c r="J37" s="86"/>
      <c r="K37" s="86"/>
      <c r="L37" s="86"/>
      <c r="M37" s="86"/>
    </row>
    <row r="38" spans="1:13" ht="14">
      <c r="A38" s="86"/>
      <c r="B38" s="86"/>
      <c r="C38" s="86"/>
      <c r="D38" s="86"/>
      <c r="E38" s="86"/>
      <c r="F38" s="86"/>
      <c r="G38" s="86"/>
      <c r="H38" s="86"/>
      <c r="I38" s="86"/>
      <c r="J38" s="86"/>
      <c r="K38" s="86"/>
      <c r="L38" s="86"/>
      <c r="M38" s="86"/>
    </row>
    <row r="39" spans="1:13" ht="14">
      <c r="A39" s="86"/>
      <c r="B39" s="86"/>
      <c r="C39" s="86"/>
      <c r="D39" s="86"/>
      <c r="E39" s="86"/>
      <c r="F39" s="86"/>
      <c r="G39" s="86"/>
      <c r="H39" s="86"/>
      <c r="I39" s="86"/>
      <c r="J39" s="86"/>
      <c r="K39" s="86"/>
      <c r="L39" s="86"/>
      <c r="M39" s="86"/>
    </row>
    <row r="40" spans="1:13" ht="14">
      <c r="A40" s="86"/>
      <c r="B40" s="86"/>
      <c r="C40" s="86"/>
      <c r="D40" s="86"/>
      <c r="E40" s="86"/>
      <c r="F40" s="86"/>
      <c r="G40" s="86"/>
      <c r="H40" s="86"/>
      <c r="I40" s="86"/>
      <c r="J40" s="86"/>
      <c r="K40" s="86"/>
      <c r="L40" s="86"/>
      <c r="M40" s="86"/>
    </row>
    <row r="41" spans="1:13" ht="14">
      <c r="A41" s="86"/>
      <c r="B41" s="86"/>
      <c r="C41" s="86"/>
      <c r="D41" s="86"/>
      <c r="E41" s="86"/>
      <c r="F41" s="86"/>
      <c r="G41" s="86"/>
      <c r="H41" s="86"/>
      <c r="I41" s="86"/>
      <c r="J41" s="86"/>
      <c r="K41" s="86"/>
      <c r="L41" s="86"/>
      <c r="M41" s="86"/>
    </row>
    <row r="42" spans="1:13" ht="14">
      <c r="A42" s="86"/>
      <c r="B42" s="86"/>
      <c r="C42" s="86"/>
      <c r="D42" s="86"/>
      <c r="E42" s="86"/>
      <c r="F42" s="86"/>
      <c r="G42" s="86"/>
      <c r="H42" s="86"/>
      <c r="I42" s="86"/>
      <c r="J42" s="86"/>
      <c r="K42" s="86"/>
      <c r="L42" s="86"/>
      <c r="M42" s="86"/>
    </row>
    <row r="43" spans="1:13" ht="14">
      <c r="A43" s="86"/>
      <c r="B43" s="86"/>
      <c r="C43" s="86"/>
      <c r="D43" s="86"/>
      <c r="E43" s="86"/>
      <c r="F43" s="86"/>
      <c r="G43" s="86"/>
      <c r="H43" s="86"/>
      <c r="I43" s="86"/>
      <c r="J43" s="86"/>
      <c r="K43" s="86"/>
      <c r="L43" s="86"/>
      <c r="M43" s="86"/>
    </row>
    <row r="44" spans="1:13" ht="14">
      <c r="A44" s="86"/>
      <c r="B44" s="86"/>
      <c r="C44" s="86"/>
      <c r="D44" s="86"/>
      <c r="E44" s="86"/>
      <c r="F44" s="86"/>
      <c r="G44" s="86"/>
      <c r="H44" s="86"/>
      <c r="I44" s="86"/>
      <c r="J44" s="86"/>
      <c r="K44" s="86"/>
      <c r="L44" s="86"/>
      <c r="M44" s="86"/>
    </row>
    <row r="45" spans="1:13" ht="14">
      <c r="A45" s="86"/>
      <c r="B45" s="86"/>
      <c r="C45" s="86"/>
      <c r="D45" s="86"/>
      <c r="E45" s="86"/>
      <c r="F45" s="86"/>
      <c r="G45" s="86"/>
      <c r="H45" s="86"/>
      <c r="I45" s="86"/>
      <c r="J45" s="86"/>
      <c r="K45" s="86"/>
      <c r="L45" s="86"/>
      <c r="M45" s="86"/>
    </row>
    <row r="46" spans="1:13" ht="14">
      <c r="A46" s="86"/>
      <c r="B46" s="86"/>
      <c r="C46" s="86"/>
      <c r="D46" s="86"/>
      <c r="E46" s="86"/>
      <c r="F46" s="86"/>
      <c r="G46" s="86"/>
      <c r="H46" s="86"/>
      <c r="I46" s="86"/>
      <c r="J46" s="86"/>
      <c r="K46" s="86"/>
      <c r="L46" s="86"/>
      <c r="M46" s="86"/>
    </row>
  </sheetData>
  <phoneticPr fontId="0" type="noConversion"/>
  <printOptions horizontalCentered="1" verticalCentered="1"/>
  <pageMargins left="0.4" right="0.51" top="0.5" bottom="0.5" header="0.5" footer="0.5"/>
  <pageSetup scale="81"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2"/>
  <sheetViews>
    <sheetView view="pageLayout" zoomScaleNormal="100" workbookViewId="0">
      <selection activeCell="F24" sqref="F24"/>
    </sheetView>
  </sheetViews>
  <sheetFormatPr baseColWidth="10" defaultColWidth="9.1640625" defaultRowHeight="13"/>
  <cols>
    <col min="1" max="1" width="32.5" style="88" customWidth="1"/>
    <col min="2" max="2" width="9.1640625" style="88"/>
    <col min="3" max="3" width="9" style="88" customWidth="1"/>
    <col min="4" max="4" width="14.83203125" style="88" bestFit="1" customWidth="1"/>
    <col min="5" max="7" width="9.1640625" style="88"/>
    <col min="8" max="8" width="11" style="88" customWidth="1"/>
    <col min="9" max="11" width="9.1640625" style="88"/>
    <col min="12" max="12" width="16.5" style="88" bestFit="1" customWidth="1"/>
    <col min="13" max="15" width="9.1640625" style="88"/>
    <col min="16" max="16" width="16.5" style="88" bestFit="1" customWidth="1"/>
    <col min="17" max="16384" width="9.1640625" style="88"/>
  </cols>
  <sheetData>
    <row r="1" spans="2:16" s="122" customFormat="1"/>
    <row r="2" spans="2:16" s="122" customFormat="1"/>
    <row r="3" spans="2:16" s="122" customFormat="1" ht="42.75" customHeight="1"/>
    <row r="4" spans="2:16" ht="37.5" customHeight="1"/>
    <row r="5" spans="2:16" s="91" customFormat="1" ht="16">
      <c r="B5" s="99" t="s">
        <v>79</v>
      </c>
      <c r="C5" s="98"/>
      <c r="D5" s="106">
        <f>'Value Matrix'!H18</f>
        <v>2131500</v>
      </c>
    </row>
    <row r="6" spans="2:16" s="91" customFormat="1" ht="16">
      <c r="B6" s="98" t="s">
        <v>80</v>
      </c>
      <c r="C6" s="98"/>
      <c r="D6" s="102">
        <f>0.01*D5</f>
        <v>21315</v>
      </c>
    </row>
    <row r="7" spans="2:16" s="91" customFormat="1" ht="16">
      <c r="B7" s="98" t="s">
        <v>81</v>
      </c>
      <c r="C7" s="98"/>
      <c r="D7" s="103">
        <f>D5*0.06</f>
        <v>127890</v>
      </c>
    </row>
    <row r="8" spans="2:16" s="91" customFormat="1" ht="16">
      <c r="B8" s="98" t="s">
        <v>82</v>
      </c>
      <c r="C8" s="98"/>
      <c r="D8" s="104">
        <v>0</v>
      </c>
    </row>
    <row r="9" spans="2:16" s="90" customFormat="1" ht="19">
      <c r="B9" s="98" t="s">
        <v>83</v>
      </c>
      <c r="C9" s="98"/>
      <c r="D9" s="107">
        <f>D5-D6-D7-D8</f>
        <v>1982295</v>
      </c>
    </row>
    <row r="10" spans="2:16" s="90" customFormat="1" ht="29.25" customHeight="1">
      <c r="B10" s="98"/>
      <c r="C10" s="98"/>
      <c r="D10" s="98"/>
    </row>
    <row r="11" spans="2:16" s="90" customFormat="1" ht="16">
      <c r="B11" s="99" t="s">
        <v>79</v>
      </c>
      <c r="C11" s="98"/>
      <c r="D11" s="106">
        <f>'Value Matrix'!H19</f>
        <v>2192400</v>
      </c>
    </row>
    <row r="12" spans="2:16" s="90" customFormat="1" ht="16">
      <c r="B12" s="98" t="s">
        <v>80</v>
      </c>
      <c r="C12" s="98"/>
      <c r="D12" s="102">
        <f>0.01*D11</f>
        <v>21924</v>
      </c>
      <c r="F12" s="89"/>
      <c r="J12" s="89"/>
      <c r="N12" s="89"/>
    </row>
    <row r="13" spans="2:16" s="90" customFormat="1" ht="16">
      <c r="B13" s="98" t="s">
        <v>81</v>
      </c>
      <c r="C13" s="98"/>
      <c r="D13" s="103">
        <f>D11*0.06</f>
        <v>131544</v>
      </c>
      <c r="H13" s="92"/>
      <c r="L13" s="92"/>
      <c r="P13" s="92"/>
    </row>
    <row r="14" spans="2:16" s="90" customFormat="1" ht="16">
      <c r="B14" s="98" t="s">
        <v>82</v>
      </c>
      <c r="C14" s="98"/>
      <c r="D14" s="104">
        <v>0</v>
      </c>
      <c r="H14" s="93"/>
      <c r="L14" s="93"/>
      <c r="P14" s="93"/>
    </row>
    <row r="15" spans="2:16" s="90" customFormat="1" ht="19">
      <c r="B15" s="98" t="s">
        <v>83</v>
      </c>
      <c r="C15" s="98"/>
      <c r="D15" s="107">
        <f>D11-D12-D13-D14</f>
        <v>2038932</v>
      </c>
      <c r="H15" s="93"/>
      <c r="L15" s="93"/>
      <c r="P15" s="93"/>
    </row>
    <row r="16" spans="2:16" s="90" customFormat="1" ht="25.5" customHeight="1">
      <c r="B16" s="98"/>
      <c r="C16" s="98"/>
      <c r="D16" s="105"/>
      <c r="H16" s="94"/>
      <c r="L16" s="94"/>
      <c r="P16" s="94"/>
    </row>
    <row r="17" spans="2:16" s="96" customFormat="1" ht="16">
      <c r="B17" s="99" t="s">
        <v>79</v>
      </c>
      <c r="C17" s="98"/>
      <c r="D17" s="106">
        <f>'Value Matrix'!H20</f>
        <v>2253300</v>
      </c>
      <c r="H17" s="95"/>
      <c r="L17" s="95"/>
      <c r="P17" s="95"/>
    </row>
    <row r="18" spans="2:16" s="96" customFormat="1" ht="16">
      <c r="B18" s="98" t="s">
        <v>80</v>
      </c>
      <c r="C18" s="98"/>
      <c r="D18" s="102">
        <f>0.01*D17</f>
        <v>22533</v>
      </c>
      <c r="H18" s="95"/>
      <c r="L18" s="95"/>
      <c r="P18" s="95"/>
    </row>
    <row r="19" spans="2:16" ht="16">
      <c r="B19" s="98" t="s">
        <v>81</v>
      </c>
      <c r="C19" s="98"/>
      <c r="D19" s="103">
        <f>D17*0.06</f>
        <v>135198</v>
      </c>
    </row>
    <row r="20" spans="2:16" ht="16">
      <c r="B20" s="98" t="s">
        <v>82</v>
      </c>
      <c r="C20" s="98"/>
      <c r="D20" s="104">
        <v>0</v>
      </c>
    </row>
    <row r="21" spans="2:16" ht="19">
      <c r="B21" s="98" t="s">
        <v>83</v>
      </c>
      <c r="C21" s="98"/>
      <c r="D21" s="107">
        <f>D17-D18-D19-D20</f>
        <v>2095569</v>
      </c>
    </row>
    <row r="22" spans="2:16" ht="26.25" customHeight="1">
      <c r="B22" s="98"/>
      <c r="C22" s="98"/>
      <c r="D22" s="98"/>
    </row>
    <row r="23" spans="2:16" ht="16">
      <c r="B23" s="99" t="s">
        <v>79</v>
      </c>
      <c r="C23" s="98"/>
      <c r="D23" s="106">
        <f>'Value Matrix'!H21</f>
        <v>2314200</v>
      </c>
    </row>
    <row r="24" spans="2:16" ht="16">
      <c r="B24" s="98" t="s">
        <v>80</v>
      </c>
      <c r="C24" s="98"/>
      <c r="D24" s="102">
        <f>0.01*D23</f>
        <v>23142</v>
      </c>
    </row>
    <row r="25" spans="2:16" ht="16">
      <c r="B25" s="98" t="s">
        <v>81</v>
      </c>
      <c r="C25" s="98"/>
      <c r="D25" s="103">
        <f>D23*0.06</f>
        <v>138852</v>
      </c>
    </row>
    <row r="26" spans="2:16" ht="16">
      <c r="B26" s="98" t="s">
        <v>82</v>
      </c>
      <c r="C26" s="98"/>
      <c r="D26" s="104">
        <v>0</v>
      </c>
    </row>
    <row r="27" spans="2:16" ht="19">
      <c r="B27" s="98" t="s">
        <v>83</v>
      </c>
      <c r="C27" s="98"/>
      <c r="D27" s="107">
        <f>D23-D24-D25-D26</f>
        <v>2152206</v>
      </c>
    </row>
    <row r="28" spans="2:16" ht="16">
      <c r="B28" s="98"/>
      <c r="C28" s="98"/>
      <c r="D28" s="98"/>
    </row>
    <row r="30" spans="2:16" ht="48.75" customHeight="1"/>
    <row r="32" spans="2:16" s="96" customFormat="1"/>
    <row r="33" spans="1:9">
      <c r="A33" s="4"/>
      <c r="B33" s="4"/>
      <c r="C33" s="4"/>
      <c r="D33" s="4"/>
      <c r="E33" s="3"/>
      <c r="F33" s="3"/>
      <c r="G33" s="62"/>
      <c r="H33" s="3"/>
      <c r="I33" s="3"/>
    </row>
    <row r="34" spans="1:9">
      <c r="A34" s="4"/>
      <c r="B34" s="4"/>
      <c r="C34" s="4"/>
      <c r="D34" s="4"/>
      <c r="E34" s="71"/>
      <c r="F34" s="3"/>
      <c r="G34" s="83"/>
      <c r="H34" s="3"/>
      <c r="I34" s="71"/>
    </row>
    <row r="35" spans="1:9">
      <c r="A35" s="4"/>
      <c r="B35" s="4"/>
      <c r="C35" s="4"/>
      <c r="D35" s="4"/>
      <c r="E35" s="71"/>
      <c r="F35" s="3"/>
      <c r="G35" s="83"/>
      <c r="H35" s="3"/>
      <c r="I35" s="71"/>
    </row>
    <row r="36" spans="1:9">
      <c r="A36" s="4"/>
      <c r="B36" s="4"/>
      <c r="C36" s="4"/>
      <c r="D36" s="4"/>
      <c r="E36" s="71"/>
      <c r="F36" s="3"/>
      <c r="G36" s="83"/>
      <c r="H36" s="3"/>
      <c r="I36" s="71"/>
    </row>
    <row r="37" spans="1:9">
      <c r="A37" s="4"/>
      <c r="B37" s="4"/>
      <c r="C37" s="4"/>
      <c r="D37" s="4"/>
      <c r="E37" s="70"/>
      <c r="F37" s="4"/>
      <c r="G37" s="48"/>
      <c r="H37" s="4"/>
      <c r="I37" s="71"/>
    </row>
    <row r="38" spans="1:9" s="122" customFormat="1">
      <c r="A38" s="121"/>
      <c r="B38" s="121"/>
      <c r="C38" s="121"/>
      <c r="D38" s="121"/>
      <c r="E38" s="121"/>
      <c r="F38" s="121"/>
      <c r="G38" s="121"/>
      <c r="H38" s="121"/>
      <c r="I38" s="121"/>
    </row>
    <row r="39" spans="1:9" s="122" customFormat="1"/>
    <row r="40" spans="1:9" s="122" customFormat="1"/>
    <row r="41" spans="1:9" s="122" customFormat="1"/>
    <row r="42" spans="1:9" s="122" customFormat="1"/>
  </sheetData>
  <phoneticPr fontId="0" type="noConversion"/>
  <printOptions horizontalCentered="1" verticalCentered="1"/>
  <pageMargins left="0.25" right="0.25" top="0.5" bottom="0.5" header="0.5" footer="0.5"/>
  <pageSetup scale="49"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46"/>
  <sheetViews>
    <sheetView view="pageLayout" zoomScale="75" zoomScaleNormal="100" zoomScalePageLayoutView="75" workbookViewId="0">
      <selection activeCell="H36" sqref="H36:I36"/>
    </sheetView>
  </sheetViews>
  <sheetFormatPr baseColWidth="10" defaultColWidth="9.1640625" defaultRowHeight="13"/>
  <cols>
    <col min="1" max="1" width="6.6640625" style="97" customWidth="1"/>
    <col min="2" max="2" width="41" style="97" customWidth="1"/>
    <col min="3" max="3" width="17.5" style="97" customWidth="1"/>
    <col min="4" max="4" width="17.83203125" style="97" bestFit="1" customWidth="1"/>
    <col min="5" max="5" width="6" style="97" customWidth="1"/>
    <col min="6" max="6" width="40.5" style="97" customWidth="1"/>
    <col min="7" max="11" width="11.83203125" style="97" customWidth="1"/>
    <col min="12" max="13" width="9.1640625" style="97"/>
    <col min="14" max="14" width="9.6640625" style="97" customWidth="1"/>
    <col min="15" max="16384" width="9.1640625" style="97"/>
  </cols>
  <sheetData>
    <row r="1" spans="2:11" s="120" customFormat="1"/>
    <row r="2" spans="2:11" s="120" customFormat="1" ht="116.25" customHeight="1"/>
    <row r="3" spans="2:11" ht="57.75" customHeight="1"/>
    <row r="4" spans="2:11" ht="18">
      <c r="B4" s="98"/>
      <c r="C4" s="110" t="s">
        <v>85</v>
      </c>
      <c r="D4" s="110" t="s">
        <v>84</v>
      </c>
      <c r="E4" s="98"/>
      <c r="F4" s="98"/>
      <c r="G4" s="98"/>
      <c r="H4" s="111"/>
      <c r="I4" s="112" t="s">
        <v>86</v>
      </c>
      <c r="J4" s="111"/>
      <c r="K4" s="98"/>
    </row>
    <row r="5" spans="2:11" s="108" customFormat="1" ht="16">
      <c r="E5" s="109"/>
      <c r="G5" s="113">
        <v>0.06</v>
      </c>
      <c r="H5" s="113">
        <v>6.5000000000000002E-2</v>
      </c>
      <c r="I5" s="113">
        <v>7.0000000000000007E-2</v>
      </c>
      <c r="J5" s="113">
        <v>7.4999999999999997E-2</v>
      </c>
      <c r="K5" s="113">
        <v>0.08</v>
      </c>
    </row>
    <row r="6" spans="2:11" ht="16.5" customHeight="1">
      <c r="B6" s="99" t="s">
        <v>71</v>
      </c>
      <c r="C6" s="114">
        <f>'Value Matrix'!H18</f>
        <v>2131500</v>
      </c>
      <c r="D6" s="115">
        <f>'Net Proceeds'!D9</f>
        <v>1982295</v>
      </c>
      <c r="E6" s="115"/>
      <c r="F6" s="99" t="s">
        <v>71</v>
      </c>
      <c r="G6" s="116">
        <f>G5*D6</f>
        <v>118937.7</v>
      </c>
      <c r="H6" s="116">
        <f>H5*D6</f>
        <v>128849.175</v>
      </c>
      <c r="I6" s="116">
        <f>I5*D6</f>
        <v>138760.65000000002</v>
      </c>
      <c r="J6" s="116">
        <f>J5*D6</f>
        <v>148672.125</v>
      </c>
      <c r="K6" s="116">
        <f>K5*D6</f>
        <v>158583.6</v>
      </c>
    </row>
    <row r="7" spans="2:11" ht="16.5" customHeight="1">
      <c r="B7" s="99" t="s">
        <v>72</v>
      </c>
      <c r="C7" s="117">
        <f>'Value Matrix'!H19</f>
        <v>2192400</v>
      </c>
      <c r="D7" s="118">
        <f>'Net Proceeds'!D15</f>
        <v>2038932</v>
      </c>
      <c r="E7" s="115"/>
      <c r="F7" s="99" t="s">
        <v>72</v>
      </c>
      <c r="G7" s="116">
        <f>G5*D7</f>
        <v>122335.92</v>
      </c>
      <c r="H7" s="119">
        <f>H5*D7</f>
        <v>132530.58000000002</v>
      </c>
      <c r="I7" s="119">
        <f>I5*D7</f>
        <v>142725.24000000002</v>
      </c>
      <c r="J7" s="119">
        <f>J5*D7</f>
        <v>152919.9</v>
      </c>
      <c r="K7" s="116">
        <f>K5*D7</f>
        <v>163114.56</v>
      </c>
    </row>
    <row r="8" spans="2:11" ht="16.5" customHeight="1">
      <c r="B8" s="99" t="s">
        <v>73</v>
      </c>
      <c r="C8" s="117">
        <f>'Value Matrix'!H20</f>
        <v>2253300</v>
      </c>
      <c r="D8" s="118">
        <f>'Net Proceeds'!D21</f>
        <v>2095569</v>
      </c>
      <c r="E8" s="115"/>
      <c r="F8" s="99" t="s">
        <v>73</v>
      </c>
      <c r="G8" s="116">
        <f>G5*D8</f>
        <v>125734.14</v>
      </c>
      <c r="H8" s="119">
        <f>H5*D8</f>
        <v>136211.98500000002</v>
      </c>
      <c r="I8" s="119">
        <f>I5*D8</f>
        <v>146689.83000000002</v>
      </c>
      <c r="J8" s="119">
        <f>J5*D8</f>
        <v>157167.67499999999</v>
      </c>
      <c r="K8" s="116">
        <f>K5*D8</f>
        <v>167645.51999999999</v>
      </c>
    </row>
    <row r="9" spans="2:11" ht="16.5" customHeight="1">
      <c r="B9" s="99" t="s">
        <v>74</v>
      </c>
      <c r="C9" s="114">
        <f>'Value Matrix'!H21</f>
        <v>2314200</v>
      </c>
      <c r="D9" s="115">
        <f>'Net Proceeds'!D27</f>
        <v>2152206</v>
      </c>
      <c r="E9" s="115"/>
      <c r="F9" s="99" t="s">
        <v>74</v>
      </c>
      <c r="G9" s="116">
        <f>G5*D9</f>
        <v>129132.36</v>
      </c>
      <c r="H9" s="116">
        <f>H5*D9</f>
        <v>139893.39000000001</v>
      </c>
      <c r="I9" s="116">
        <f>I5*D9</f>
        <v>150654.42000000001</v>
      </c>
      <c r="J9" s="116">
        <f>J5*D9</f>
        <v>161415.44999999998</v>
      </c>
      <c r="K9" s="116">
        <f>K5*D9</f>
        <v>172176.48</v>
      </c>
    </row>
    <row r="10" spans="2:11">
      <c r="I10" s="100"/>
      <c r="K10" s="101"/>
    </row>
    <row r="36" ht="54" customHeight="1"/>
    <row r="37" ht="147.75" customHeight="1"/>
    <row r="38" s="120" customFormat="1"/>
    <row r="39" s="120" customFormat="1"/>
    <row r="40" s="120" customFormat="1"/>
    <row r="41" s="120" customFormat="1"/>
    <row r="42" s="120" customFormat="1"/>
    <row r="43" s="120" customFormat="1"/>
    <row r="44" s="120" customFormat="1"/>
    <row r="45" s="120" customFormat="1"/>
    <row r="46" s="120" customFormat="1"/>
  </sheetData>
  <phoneticPr fontId="0" type="noConversion"/>
  <printOptions horizontalCentered="1" verticalCentered="1"/>
  <pageMargins left="0.49" right="0.23" top="0.51" bottom="0.51" header="0.5" footer="0.5"/>
  <pageSetup scale="57" orientation="landscape"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Cash Flow Analysis</vt:lpstr>
      <vt:lpstr>Value Matrix</vt:lpstr>
      <vt:lpstr>Net Proceeds</vt:lpstr>
      <vt:lpstr>Equity Matrix</vt:lpstr>
      <vt:lpstr>'Cash Flow Analysis'!Print_Area</vt:lpstr>
      <vt:lpstr>'Equity Matrix'!Print_Area</vt:lpstr>
      <vt:lpstr>'Net Proceeds'!Print_Area</vt:lpstr>
      <vt:lpstr>'Value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Chitayat</dc:creator>
  <cp:lastModifiedBy>Microsoft Office User</cp:lastModifiedBy>
  <cp:lastPrinted>2020-04-29T18:12:44Z</cp:lastPrinted>
  <dcterms:created xsi:type="dcterms:W3CDTF">1999-02-17T04:03:00Z</dcterms:created>
  <dcterms:modified xsi:type="dcterms:W3CDTF">2020-05-27T19:56:08Z</dcterms:modified>
</cp:coreProperties>
</file>